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9315" activeTab="0"/>
  </bookViews>
  <sheets>
    <sheet name="試算" sheetId="1" r:id="rId1"/>
    <sheet name="成功率" sheetId="2" r:id="rId2"/>
    <sheet name="ステータス" sheetId="3" r:id="rId3"/>
    <sheet name="ランキングポイント" sheetId="4" r:id="rId4"/>
  </sheets>
  <definedNames>
    <definedName name="Chat" localSheetId="3">'ランキングポイント'!#REF!</definedName>
  </definedNames>
  <calcPr fullCalcOnLoad="1"/>
</workbook>
</file>

<file path=xl/sharedStrings.xml><?xml version="1.0" encoding="utf-8"?>
<sst xmlns="http://schemas.openxmlformats.org/spreadsheetml/2006/main" count="113" uniqueCount="82">
  <si>
    <t>赤ｽﾘﾑ</t>
  </si>
  <si>
    <t>黄ｽﾘﾑ</t>
  </si>
  <si>
    <t>白ｽﾘﾑ</t>
  </si>
  <si>
    <t>OC単価</t>
  </si>
  <si>
    <t>ゴス有</t>
  </si>
  <si>
    <t>青</t>
  </si>
  <si>
    <t>成功率</t>
  </si>
  <si>
    <t>期待値</t>
  </si>
  <si>
    <t>試行回数</t>
  </si>
  <si>
    <t>差分1</t>
  </si>
  <si>
    <t>差分2</t>
  </si>
  <si>
    <t>基本成功率</t>
  </si>
  <si>
    <t>料理有</t>
  </si>
  <si>
    <t>ゴス料理</t>
  </si>
  <si>
    <t>JOB</t>
  </si>
  <si>
    <t>LP</t>
  </si>
  <si>
    <t>DEX</t>
  </si>
  <si>
    <t>INT</t>
  </si>
  <si>
    <t>LUK</t>
  </si>
  <si>
    <t>+</t>
  </si>
  <si>
    <t>+</t>
  </si>
  <si>
    <t>素</t>
  </si>
  <si>
    <t>+</t>
  </si>
  <si>
    <t>MC</t>
  </si>
  <si>
    <t>OC赤字</t>
  </si>
  <si>
    <t>Pha</t>
  </si>
  <si>
    <t>ブレス10</t>
  </si>
  <si>
    <t>グロ</t>
  </si>
  <si>
    <t>ブレグロ</t>
  </si>
  <si>
    <t>通常</t>
  </si>
  <si>
    <t>赤スリム</t>
  </si>
  <si>
    <t>黄スリム</t>
  </si>
  <si>
    <t>白スリム</t>
  </si>
  <si>
    <t>特殊ボトル</t>
  </si>
  <si>
    <t>コーティング</t>
  </si>
  <si>
    <t>アロエベラ</t>
  </si>
  <si>
    <t>鎮痛剤</t>
  </si>
  <si>
    <t>アルコール</t>
  </si>
  <si>
    <t>エンブリオ</t>
  </si>
  <si>
    <t>レジスト</t>
  </si>
  <si>
    <t>料理+支援</t>
  </si>
  <si>
    <t>基本</t>
  </si>
  <si>
    <t>触媒</t>
  </si>
  <si>
    <t>触媒単価</t>
  </si>
  <si>
    <t>設定項目</t>
  </si>
  <si>
    <t>収益</t>
  </si>
  <si>
    <t>売却単価</t>
  </si>
  <si>
    <t>補正</t>
  </si>
  <si>
    <t>原材料費</t>
  </si>
  <si>
    <t>原価</t>
  </si>
  <si>
    <t>ハーブ価格</t>
  </si>
  <si>
    <t>自分</t>
  </si>
  <si>
    <t>日時</t>
  </si>
  <si>
    <t>装備特殊支援</t>
  </si>
  <si>
    <t>ゴスペル</t>
  </si>
  <si>
    <t>ゴス+支援</t>
  </si>
  <si>
    <t>フル支援</t>
  </si>
  <si>
    <t>料理三種</t>
  </si>
  <si>
    <t>収集/製薬</t>
  </si>
  <si>
    <t>必要時間</t>
  </si>
  <si>
    <t>収集/h</t>
  </si>
  <si>
    <t>製薬/h</t>
  </si>
  <si>
    <t>ジョブ</t>
  </si>
  <si>
    <t>ケミ</t>
  </si>
  <si>
    <t>クリエ</t>
  </si>
  <si>
    <t>ジェネ</t>
  </si>
  <si>
    <t>LP/Pha</t>
  </si>
  <si>
    <t>ステ</t>
  </si>
  <si>
    <t>=</t>
  </si>
  <si>
    <t>ハブ/POT</t>
  </si>
  <si>
    <t>point</t>
  </si>
  <si>
    <t>POT</t>
  </si>
  <si>
    <t>RO製薬用諸計算機Ver1.02b</t>
  </si>
  <si>
    <t>ホム</t>
  </si>
  <si>
    <t>赤ｽﾘﾑ</t>
  </si>
  <si>
    <t>黄ｽﾘﾑ</t>
  </si>
  <si>
    <t>白ｽﾘﾑ</t>
  </si>
  <si>
    <t>青</t>
  </si>
  <si>
    <t>ホム料理</t>
  </si>
  <si>
    <t>フル支援</t>
  </si>
  <si>
    <t>ホム</t>
  </si>
  <si>
    <t>ホム+支援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</si>
</sst>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0.0000_ "/>
    <numFmt numFmtId="181" formatCode="m/d;@"/>
    <numFmt numFmtId="182" formatCode="#,##0.0;[Red]\-#,##0.0"/>
    <numFmt numFmtId="183" formatCode="#,##0.00_ ;[Red]\-#,##0.00\ "/>
    <numFmt numFmtId="184" formatCode="#,##0.000;[Red]\-#,##0.000"/>
    <numFmt numFmtId="185" formatCode="#,##0.0000;[Red]\-#,##0.0000"/>
    <numFmt numFmtId="186" formatCode="#,##0.0000_ ;[Red]\-#,##0.0000\ "/>
    <numFmt numFmtId="187" formatCode="#,##0.000_ ;[Red]\-#,##0.000\ "/>
    <numFmt numFmtId="188" formatCode="0.0%"/>
    <numFmt numFmtId="189" formatCode="0.000%"/>
    <numFmt numFmtId="190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16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16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1" xfId="0" applyNumberFormat="1" applyFont="1" applyBorder="1" applyAlignment="1">
      <alignment vertical="center"/>
    </xf>
    <xf numFmtId="10" fontId="3" fillId="0" borderId="0" xfId="0" applyNumberFormat="1" applyFont="1" applyAlignment="1">
      <alignment horizontal="center" vertical="center"/>
    </xf>
    <xf numFmtId="38" fontId="3" fillId="0" borderId="0" xfId="16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2" borderId="2" xfId="16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0" borderId="0" xfId="16" applyFont="1" applyBorder="1" applyAlignment="1">
      <alignment vertical="center"/>
    </xf>
    <xf numFmtId="182" fontId="3" fillId="0" borderId="0" xfId="16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38" fontId="4" fillId="0" borderId="0" xfId="16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16" applyNumberFormat="1" applyAlignment="1">
      <alignment horizontal="center" vertical="center"/>
    </xf>
    <xf numFmtId="182" fontId="0" fillId="0" borderId="0" xfId="16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00390625" style="12" customWidth="1"/>
    <col min="2" max="2" width="14.125" style="11" customWidth="1"/>
    <col min="3" max="3" width="8.625" style="13" customWidth="1"/>
    <col min="4" max="4" width="14.375" style="13" bestFit="1" customWidth="1"/>
    <col min="5" max="5" width="15.625" style="13" customWidth="1"/>
    <col min="6" max="6" width="9.00390625" style="14" customWidth="1"/>
    <col min="7" max="7" width="9.00390625" style="11" customWidth="1"/>
    <col min="8" max="8" width="9.625" style="11" customWidth="1"/>
    <col min="9" max="9" width="8.625" style="13" customWidth="1"/>
    <col min="10" max="10" width="8.625" style="11" customWidth="1"/>
    <col min="11" max="11" width="9.625" style="11" customWidth="1"/>
    <col min="12" max="16384" width="9.00390625" style="11" customWidth="1"/>
  </cols>
  <sheetData>
    <row r="1" ht="3" customHeight="1"/>
    <row r="2" spans="1:11" ht="12">
      <c r="A2" s="12" t="s">
        <v>11</v>
      </c>
      <c r="B2" s="15">
        <f>'成功率'!$E$7*0.01</f>
        <v>0.32</v>
      </c>
      <c r="C2" s="21"/>
      <c r="D2" s="29" t="s">
        <v>72</v>
      </c>
      <c r="E2" s="29"/>
      <c r="K2" s="12" t="s">
        <v>58</v>
      </c>
    </row>
    <row r="3" spans="1:11" s="12" customFormat="1" ht="15" customHeight="1">
      <c r="A3" s="12" t="s">
        <v>69</v>
      </c>
      <c r="B3" s="12" t="s">
        <v>48</v>
      </c>
      <c r="C3" s="21" t="s">
        <v>49</v>
      </c>
      <c r="D3" s="21" t="s">
        <v>45</v>
      </c>
      <c r="E3" s="21" t="s">
        <v>24</v>
      </c>
      <c r="F3" s="16" t="s">
        <v>6</v>
      </c>
      <c r="G3" s="12" t="s">
        <v>7</v>
      </c>
      <c r="H3" s="12" t="s">
        <v>8</v>
      </c>
      <c r="I3" s="21" t="s">
        <v>44</v>
      </c>
      <c r="J3" s="12" t="s">
        <v>43</v>
      </c>
      <c r="K3" s="12" t="s">
        <v>59</v>
      </c>
    </row>
    <row r="4" spans="1:11" ht="12">
      <c r="A4" s="12" t="s">
        <v>0</v>
      </c>
      <c r="B4" s="17">
        <f>IF($B$2+0.2&gt;0.99,$I$5/G4*(2+8+(7+8+$I$14)/0.99+$I$8),$I$5/G4*(2+8+(7+8+$I$14)/($B$2+0.2)+$I$8))</f>
        <v>9557851765.635761</v>
      </c>
      <c r="C4" s="13">
        <f>IF($B$2+0.2&gt;0.99,(2+8+(7+8+$I$14)/0.99+$I$8)/F4,(2+8+(7+8+$I$14)/($B$2+0.2)+$I$8)/F4)</f>
        <v>649.5726495726495</v>
      </c>
      <c r="D4" s="13">
        <f>H4*($I$25-C4)</f>
        <v>-29949798661.32453</v>
      </c>
      <c r="E4" s="13">
        <f>H4*(I30-C4)</f>
        <v>-30331274323.900345</v>
      </c>
      <c r="F4" s="14">
        <f>$B$2-0.05</f>
        <v>0.27</v>
      </c>
      <c r="G4" s="19">
        <f>(F4^3+3*F4^5+10*F4^7+50*F4^10)*(1-F4)/(1-F4^10)</f>
        <v>0.0183497944606331</v>
      </c>
      <c r="H4" s="13">
        <f>I5/G4</f>
        <v>54496523.22511618</v>
      </c>
      <c r="I4" s="21" t="s">
        <v>70</v>
      </c>
      <c r="J4" s="13">
        <f>$I$25*F4-(8+2+(7+8+$I$14)*0.99)</f>
        <v>-42.400000000000006</v>
      </c>
      <c r="K4" s="27">
        <f>H4/$I$35</f>
        <v>90827.53870852696</v>
      </c>
    </row>
    <row r="5" spans="2:11" ht="12">
      <c r="B5" s="17">
        <f>$I$5/G4*(2+8+I20+$I$8)</f>
        <v>5340659276.061385</v>
      </c>
      <c r="C5" s="13">
        <f>(2+8+I20+$I$8)/F4</f>
        <v>362.96296296296293</v>
      </c>
      <c r="D5" s="13">
        <f>H4*($I$25-C5)</f>
        <v>-14330567218.456474</v>
      </c>
      <c r="E5" s="13">
        <f>H4*(I30-C5)</f>
        <v>-14712042881.032288</v>
      </c>
      <c r="H5" s="13"/>
      <c r="I5" s="20">
        <v>1000000</v>
      </c>
      <c r="J5" s="13">
        <f>$I$25*F4-(2+8+$I$20)</f>
        <v>-21</v>
      </c>
      <c r="K5" s="27">
        <f>H4/$I$40</f>
        <v>10899.304645023236</v>
      </c>
    </row>
    <row r="6" spans="1:11" ht="12">
      <c r="A6" s="12" t="s">
        <v>1</v>
      </c>
      <c r="B6" s="17">
        <f>IF($B$2+0.2&gt;0.99,$I$5/G6*(2+8+(7+8+$I$15)/0.99+$I$9),$I$5/G6*(2+8+(7+8+$I$15)/($B$2+0.2)+$I$9))</f>
        <v>28991128058.130943</v>
      </c>
      <c r="C6" s="13">
        <f>IF($B$2+0.2&gt;0.99,(2+8+(7+8+$I$15)/0.99+$I$9)/F6,(2+8+(7+8+$I$15)/($B$2+0.2)+$I$9)/F6)</f>
        <v>1601.2558869701727</v>
      </c>
      <c r="D6" s="13">
        <f>H6*($I$26-C6)</f>
        <v>-73991762606.94644</v>
      </c>
      <c r="E6" s="13">
        <f>H6*(I31-C6)</f>
        <v>-90840724090.14253</v>
      </c>
      <c r="F6" s="14">
        <f>$B$2-0.075</f>
        <v>0.245</v>
      </c>
      <c r="G6" s="19">
        <f>(F6^3+3*F6^5+10*F6^7+50*F6^10)*(1-F6)/(1-F6^10)</f>
        <v>0.013531991287854164</v>
      </c>
      <c r="H6" s="13">
        <f>I5/G6</f>
        <v>73898953.8736671</v>
      </c>
      <c r="J6" s="13">
        <f>$I$26*F6-(8+2+(7+8+$I$15)*0.99)</f>
        <v>-26.349999999999994</v>
      </c>
      <c r="K6" s="27">
        <f>H6/$I$36</f>
        <v>369494.76936833555</v>
      </c>
    </row>
    <row r="7" spans="2:11" ht="12">
      <c r="B7" s="17">
        <f>$I$5/G6*(2+8+I21+$I$9)</f>
        <v>36432184259.71788</v>
      </c>
      <c r="C7" s="13">
        <f>(2+8+I21+$I$9)/F6</f>
        <v>2012.2448979591836</v>
      </c>
      <c r="D7" s="13">
        <f>H6*($I$26-C7)</f>
        <v>-104363420572.60742</v>
      </c>
      <c r="E7" s="13">
        <f>H6*(I31-C7)</f>
        <v>-121212382055.80351</v>
      </c>
      <c r="H7" s="13"/>
      <c r="I7" s="22" t="s">
        <v>42</v>
      </c>
      <c r="J7" s="13">
        <f>$I$26*F6-(2+8+$I$21)</f>
        <v>-281</v>
      </c>
      <c r="K7" s="27">
        <f>H6/$I$41</f>
        <v>24632.984624555702</v>
      </c>
    </row>
    <row r="8" spans="1:11" ht="12">
      <c r="A8" s="12" t="s">
        <v>2</v>
      </c>
      <c r="B8" s="17">
        <f>IF($B$2+0.2&gt;0.99,$I$5/G8*(2+8+(7+8+$I$16)/0.99+$I$10),$I$5/G8*(2+8+(7+8+$I$16)/($B$2+0.2)+$I$10))</f>
        <v>203108112581.75104</v>
      </c>
      <c r="C8" s="13">
        <f>IF($B$2+0.2&gt;0.99,(2+8+(7+8+$I$16)/0.99+$I$10)/F8,(2+8+(7+8+$I$16)/($B$2+0.2)+$I$10)/F8)</f>
        <v>8970.27972027972</v>
      </c>
      <c r="D8" s="13">
        <f>H8*($I$27-C8)</f>
        <v>-717379249892.3135</v>
      </c>
      <c r="E8" s="13">
        <f>H8*(I32-C8)</f>
        <v>-817931818120.761</v>
      </c>
      <c r="F8" s="14">
        <f>$B$2-0.1</f>
        <v>0.22</v>
      </c>
      <c r="G8" s="19">
        <f>(F8^3+3*F8^5+10*F8^7+50*F8^10)*(1-F8)/(1-F8^10)</f>
        <v>0.00971631075379729</v>
      </c>
      <c r="H8" s="13">
        <f>I5/G8</f>
        <v>102919721.83055013</v>
      </c>
      <c r="I8" s="23">
        <v>50</v>
      </c>
      <c r="J8" s="13">
        <f>$I$27*F8-(8+2+(7+8+$I$16)*0.99)</f>
        <v>-426.35</v>
      </c>
      <c r="K8" s="27">
        <f>H8/$I$37</f>
        <v>257299.30457637535</v>
      </c>
    </row>
    <row r="9" spans="2:11" ht="12">
      <c r="B9" s="17">
        <f>$I$5/G8*(2+8+I22+$I$10)</f>
        <v>125767900076.93227</v>
      </c>
      <c r="C9" s="13">
        <f>(2+8+I22+$I$10)/F8</f>
        <v>5554.545454545455</v>
      </c>
      <c r="D9" s="13">
        <f>H8*($I$27-C9)</f>
        <v>-365832829415.8646</v>
      </c>
      <c r="E9" s="13">
        <f>H8*(I32-C9)</f>
        <v>-466385397644.3121</v>
      </c>
      <c r="H9" s="13"/>
      <c r="I9" s="24">
        <v>65</v>
      </c>
      <c r="J9" s="13">
        <f>$I$27*F8-(2+8+$I$22)</f>
        <v>-482</v>
      </c>
      <c r="K9" s="27">
        <f>H8/$I$42</f>
        <v>3430.657394351671</v>
      </c>
    </row>
    <row r="10" spans="1:11" ht="12">
      <c r="A10" s="12" t="s">
        <v>5</v>
      </c>
      <c r="C10" s="13">
        <f>(7+8+$I$17+$I$11)/F10</f>
        <v>7911.11111111111</v>
      </c>
      <c r="F10" s="14">
        <f>$B$2-0.05</f>
        <v>0.27</v>
      </c>
      <c r="H10" s="13"/>
      <c r="I10" s="25">
        <v>300</v>
      </c>
      <c r="J10" s="13"/>
      <c r="K10" s="27"/>
    </row>
    <row r="11" spans="9:11" ht="12">
      <c r="I11" s="24">
        <v>121</v>
      </c>
      <c r="J11" s="13"/>
      <c r="K11" s="27"/>
    </row>
    <row r="12" spans="1:11" ht="12">
      <c r="A12" s="12" t="s">
        <v>12</v>
      </c>
      <c r="B12" s="15">
        <f>'成功率'!G7*0.01</f>
        <v>0.34500000000000003</v>
      </c>
      <c r="J12" s="13"/>
      <c r="K12" s="27"/>
    </row>
    <row r="13" spans="1:11" ht="12">
      <c r="A13" s="12" t="s">
        <v>0</v>
      </c>
      <c r="B13" s="17">
        <f>IF($B$2+0.2&gt;0.99,$I$5/G13*(2+8+(7+8+$I$14)/0.99+$I$8),$I$5/G13*(2+8+(7+8+$I$14)/($B$2+0.2)+$I$8))</f>
        <v>7196448014.048159</v>
      </c>
      <c r="C13" s="13">
        <f>IF($B$2+0.2&gt;0.99,(2+8+(7+8+$I$14)/0.99+$I$8)/F13,(2+8+(7+8+$I$14)/($B$2+0.2)+$I$8)/F13)</f>
        <v>594.5241199478487</v>
      </c>
      <c r="D13" s="13">
        <f>H13*($I$25-C13)</f>
        <v>-20291501127.924965</v>
      </c>
      <c r="E13" s="13">
        <f>H13*(I30-C13)</f>
        <v>-20578727781.117237</v>
      </c>
      <c r="F13" s="14">
        <f>$B$2-0.05+0.025</f>
        <v>0.29500000000000004</v>
      </c>
      <c r="G13" s="19">
        <f>(F13^3+3*F13^5+10*F13^7+50*F13^10)*(1-F13)/(1-F13^10)</f>
        <v>0.02437099733677611</v>
      </c>
      <c r="H13" s="13">
        <f>I5/G13</f>
        <v>41032379.02746757</v>
      </c>
      <c r="I13" s="22" t="s">
        <v>50</v>
      </c>
      <c r="J13" s="13">
        <f>$I$25*F13-(8+2+(7+8+$I$14)*0.99)</f>
        <v>-39.900000000000006</v>
      </c>
      <c r="K13" s="27">
        <f>H13/$I$35</f>
        <v>68387.29837911262</v>
      </c>
    </row>
    <row r="14" spans="2:11" ht="12">
      <c r="B14" s="17">
        <f>$I$5/G13*(2+8+I20+$I$8)</f>
        <v>4021173144.691822</v>
      </c>
      <c r="C14" s="13">
        <f>(2+8+I20+$I$8)/F13</f>
        <v>332.20338983050846</v>
      </c>
      <c r="D14" s="13">
        <f>H13*($I$25-C14)</f>
        <v>-9527857502.988232</v>
      </c>
      <c r="E14" s="13">
        <f>H13*(I30-C14)</f>
        <v>-9815084156.180506</v>
      </c>
      <c r="H14" s="13"/>
      <c r="I14" s="24">
        <v>45</v>
      </c>
      <c r="J14" s="13">
        <f>$I$25*F13-(2+8+$I$20)</f>
        <v>-18.499999999999996</v>
      </c>
      <c r="K14" s="27">
        <f>H13/$I$40</f>
        <v>8206.475805493514</v>
      </c>
    </row>
    <row r="15" spans="1:11" ht="12">
      <c r="A15" s="12" t="s">
        <v>1</v>
      </c>
      <c r="B15" s="17">
        <f>IF($B$2+0.2&gt;0.99,$I$5/G15*(2+8+(7+8+$I$15)/0.99+$I$9),$I$5/G15*(2+8+(7+8+$I$15)/($B$2+0.2)+$I$9))</f>
        <v>21379405265.237885</v>
      </c>
      <c r="C15" s="13">
        <f>IF($B$2+0.2&gt;0.99,(2+8+(7+8+$I$15)/0.99+$I$9)/F15,(2+8+(7+8+$I$15)/($B$2+0.2)+$I$9)/F15)</f>
        <v>1452.991452991453</v>
      </c>
      <c r="D15" s="13">
        <f>H15*($I$26-C15)</f>
        <v>-46485068528.77431</v>
      </c>
      <c r="E15" s="13">
        <f>H15*(I31-C15)</f>
        <v>-58910275824.1008</v>
      </c>
      <c r="F15" s="14">
        <f>$B$2-0.075+0.025</f>
        <v>0.27</v>
      </c>
      <c r="G15" s="19">
        <f>(F15^3+3*F15^5+10*F15^7+50*F15^10)*(1-F15)/(1-F15^10)</f>
        <v>0.0183497944606331</v>
      </c>
      <c r="H15" s="13">
        <f>I5/G15</f>
        <v>54496523.22511618</v>
      </c>
      <c r="I15" s="24">
        <v>150</v>
      </c>
      <c r="J15" s="13">
        <f>$I$26*F15-(8+2+(7+8+$I$15)*0.99)</f>
        <v>-11.349999999999994</v>
      </c>
      <c r="K15" s="27">
        <f>H15/$I$36</f>
        <v>272482.6161255809</v>
      </c>
    </row>
    <row r="16" spans="2:11" ht="12">
      <c r="B16" s="17">
        <f>$I$5/G15*(2+8+I21+$I$9)</f>
        <v>26866785949.982277</v>
      </c>
      <c r="C16" s="13">
        <f>(2+8+I21+$I$9)/F15</f>
        <v>1825.9259259259259</v>
      </c>
      <c r="D16" s="13">
        <f>H15*($I$26-C16)</f>
        <v>-66808700694.49428</v>
      </c>
      <c r="E16" s="13">
        <f>H15*(I31-C16)</f>
        <v>-79233907989.82077</v>
      </c>
      <c r="H16" s="13"/>
      <c r="I16" s="24">
        <v>850</v>
      </c>
      <c r="J16" s="13">
        <f>$I$26*F15-(2+8+$I$21)</f>
        <v>-266</v>
      </c>
      <c r="K16" s="27">
        <f>H15/$I$41</f>
        <v>18165.507741705394</v>
      </c>
    </row>
    <row r="17" spans="1:11" ht="12">
      <c r="A17" s="12" t="s">
        <v>2</v>
      </c>
      <c r="B17" s="17">
        <f>IF($B$2+0.2&gt;0.99,$I$5/G17*(2+8+(7+8+$I$16)/0.99+$I$10),$I$5/G17*(2+8+(7+8+$I$16)/($B$2+0.2)+$I$10))</f>
        <v>145836743202.22534</v>
      </c>
      <c r="C17" s="13">
        <f>IF($B$2+0.2&gt;0.99,(2+8+(7+8+$I$16)/0.99+$I$10)/F17,(2+8+(7+8+$I$16)/($B$2+0.2)+$I$10)/F17)</f>
        <v>8054.945054945055</v>
      </c>
      <c r="D17" s="13">
        <f>H17*($I$27-C17)</f>
        <v>-447454105322.9733</v>
      </c>
      <c r="E17" s="13">
        <f>H17*(I32-C17)</f>
        <v>-519653383257.5461</v>
      </c>
      <c r="F17" s="14">
        <f>$B$2-0.1+0.025</f>
        <v>0.245</v>
      </c>
      <c r="G17" s="19">
        <f>(F17^3+3*F17^5+10*F17^7+50*F17^10)*(1-F17)/(1-F17^10)</f>
        <v>0.013531991287854164</v>
      </c>
      <c r="H17" s="13">
        <f>I5/G17</f>
        <v>73898953.8736671</v>
      </c>
      <c r="I17" s="24">
        <v>2000</v>
      </c>
      <c r="J17" s="13">
        <f>$I$27*F17-(8+2+(7+8+$I$16)*0.99)</f>
        <v>-376.35</v>
      </c>
      <c r="K17" s="27">
        <f>H17/$I$37</f>
        <v>184747.38468416777</v>
      </c>
    </row>
    <row r="18" spans="2:11" ht="12">
      <c r="B18" s="17">
        <f>$I$5/G17*(2+8+I22+$I$10)</f>
        <v>90304521633.6212</v>
      </c>
      <c r="C18" s="13">
        <f>(2+8+I22+$I$10)/F17</f>
        <v>4987.755102040816</v>
      </c>
      <c r="D18" s="13">
        <f>H17*($I$27-C18)</f>
        <v>-220791976471.52786</v>
      </c>
      <c r="E18" s="13">
        <f>H17*(I32-C18)</f>
        <v>-292991254406.1006</v>
      </c>
      <c r="H18" s="13"/>
      <c r="I18" s="26"/>
      <c r="J18" s="13">
        <f>$I$27*F17-(2+8+$I$22)</f>
        <v>-432</v>
      </c>
      <c r="K18" s="27">
        <f>H17/$I$42</f>
        <v>2463.29846245557</v>
      </c>
    </row>
    <row r="19" spans="1:11" ht="12">
      <c r="A19" s="12" t="s">
        <v>5</v>
      </c>
      <c r="C19" s="13">
        <f>(7+8+$I$17+$I$11)/F19</f>
        <v>7240.6779661016935</v>
      </c>
      <c r="F19" s="14">
        <f>$B$2-0.05+0.025</f>
        <v>0.29500000000000004</v>
      </c>
      <c r="I19" s="21" t="s">
        <v>71</v>
      </c>
      <c r="J19" s="13"/>
      <c r="K19" s="27"/>
    </row>
    <row r="20" spans="9:11" ht="12">
      <c r="I20" s="24">
        <v>38</v>
      </c>
      <c r="J20" s="13"/>
      <c r="K20" s="27"/>
    </row>
    <row r="21" spans="1:11" ht="12">
      <c r="A21" s="12" t="s">
        <v>4</v>
      </c>
      <c r="B21" s="15">
        <f>'成功率'!I7*0.01</f>
        <v>0.37</v>
      </c>
      <c r="I21" s="24">
        <v>418</v>
      </c>
      <c r="J21" s="13"/>
      <c r="K21" s="27"/>
    </row>
    <row r="22" spans="1:11" ht="12">
      <c r="A22" s="12" t="s">
        <v>0</v>
      </c>
      <c r="B22" s="17">
        <f>IF($B$2+0.2&gt;0.99,$I$5/G22*(2+8+(7+8+$I$14)/0.99+$I$8),$I$5/G22*(2+8+(7+8+$I$14)/($B$2+0.2)+$I$8))</f>
        <v>5507105090.104936</v>
      </c>
      <c r="C22" s="13">
        <f>IF($B$2+0.2&gt;0.99,(2+8+(7+8+$I$14)/0.99+$I$8)/F22,(2+8+(7+8+$I$14)/($B$2+0.2)+$I$8)/F22)</f>
        <v>548.0769230769231</v>
      </c>
      <c r="D22" s="13">
        <f>H22*($I$25-C22)</f>
        <v>-14069687346.430374</v>
      </c>
      <c r="E22" s="13">
        <f>H22*(I30-C22)</f>
        <v>-14289488470.640701</v>
      </c>
      <c r="F22" s="14">
        <f>$B$2-0.05+0.05</f>
        <v>0.32</v>
      </c>
      <c r="G22" s="19">
        <f>(F22^3+3*F22^5+10*F22^7+50*F22^10)*(1-F22)/(1-F22^10)</f>
        <v>0.03184697087036585</v>
      </c>
      <c r="H22" s="13">
        <f>I5/G22</f>
        <v>31400160.60147551</v>
      </c>
      <c r="I22" s="24">
        <v>912</v>
      </c>
      <c r="J22" s="13">
        <f>$I$25*F22-(8+2+(7+8+$I$14)*0.99)</f>
        <v>-37.400000000000006</v>
      </c>
      <c r="K22" s="27">
        <f>H22/$I$35</f>
        <v>52333.60100245918</v>
      </c>
    </row>
    <row r="23" spans="2:11" ht="12">
      <c r="B23" s="17">
        <f>$I$5/G22*(2+8+I20+$I$8)</f>
        <v>3077215738.9446</v>
      </c>
      <c r="C23" s="13">
        <f>(2+8+I20+$I$8)/F22</f>
        <v>306.25</v>
      </c>
      <c r="D23" s="13">
        <f>H22*($I$25-C23)</f>
        <v>-6476283124.054324</v>
      </c>
      <c r="E23" s="13">
        <f>H22*(I30-C23)</f>
        <v>-6696084248.264652</v>
      </c>
      <c r="H23" s="13"/>
      <c r="J23" s="13">
        <f>$I$25*F22-(2+8+$I$20)</f>
        <v>-16</v>
      </c>
      <c r="K23" s="27">
        <f>H22/$I$40</f>
        <v>6280.032120295102</v>
      </c>
    </row>
    <row r="24" spans="1:11" ht="12">
      <c r="A24" s="12" t="s">
        <v>1</v>
      </c>
      <c r="B24" s="17">
        <f>IF($B$2+0.2&gt;0.99,$I$5/G24*(2+8+(7+8+$I$15)/0.99+$I$9),$I$5/G24*(2+8+(7+8+$I$15)/($B$2+0.2)+$I$9))</f>
        <v>16097317926.160358</v>
      </c>
      <c r="C24" s="13">
        <f>IF($B$2+0.2&gt;0.99,(2+8+(7+8+$I$15)/0.99+$I$9)/F24,(2+8+(7+8+$I$15)/($B$2+0.2)+$I$9)/F24)</f>
        <v>1329.8565840938722</v>
      </c>
      <c r="D24" s="13">
        <f>H24*($I$26-C24)</f>
        <v>-29947751994.23253</v>
      </c>
      <c r="E24" s="13">
        <f>H24*(I31-C24)</f>
        <v>-39303134412.49514</v>
      </c>
      <c r="F24" s="14">
        <f>$B$2-0.075+0.05</f>
        <v>0.295</v>
      </c>
      <c r="G24" s="19">
        <f>(F24^3+3*F24^5+10*F24^7+50*F24^10)*(1-F24)/(1-F24^10)</f>
        <v>0.024370997336776102</v>
      </c>
      <c r="H24" s="13">
        <f>I5/G24</f>
        <v>41032379.02746758</v>
      </c>
      <c r="I24" s="21" t="s">
        <v>46</v>
      </c>
      <c r="J24" s="13">
        <f>$I$26*F24-(8+2+(7+8+$I$15)*0.99)</f>
        <v>3.6500000000000057</v>
      </c>
      <c r="K24" s="27">
        <f>H24/$I$36</f>
        <v>205161.89513733788</v>
      </c>
    </row>
    <row r="25" spans="2:11" ht="12">
      <c r="B25" s="17">
        <f>$I$5/G24*(2+8+I21+$I$9)</f>
        <v>20228962860.541515</v>
      </c>
      <c r="C25" s="13">
        <f>(2+8+I21+$I$9)/F24</f>
        <v>1671.1864406779662</v>
      </c>
      <c r="D25" s="13">
        <f>H24*($I$26-C25)</f>
        <v>-43953328042.98222</v>
      </c>
      <c r="E25" s="13">
        <f>H24*(I31-C25)</f>
        <v>-53308710461.24483</v>
      </c>
      <c r="H25" s="13"/>
      <c r="I25" s="24">
        <v>100</v>
      </c>
      <c r="J25" s="13">
        <f>$I$26*F24-(2+8+$I$21)</f>
        <v>-251</v>
      </c>
      <c r="K25" s="27">
        <f>H24/$I$41</f>
        <v>13677.459675822527</v>
      </c>
    </row>
    <row r="26" spans="1:11" ht="12">
      <c r="A26" s="12" t="s">
        <v>2</v>
      </c>
      <c r="B26" s="17">
        <f>IF($B$2+0.2&gt;0.99,$I$5/G26*(2+8+(7+8+$I$16)/0.99+$I$10),$I$5/G26*(2+8+(7+8+$I$16)/($B$2+0.2)+$I$10))</f>
        <v>107546792564.64273</v>
      </c>
      <c r="C26" s="13">
        <f>IF($B$2+0.2&gt;0.99,(2+8+(7+8+$I$16)/0.99+$I$10)/F26,(2+8+(7+8+$I$16)/($B$2+0.2)+$I$10)/F26)</f>
        <v>7309.116809116808</v>
      </c>
      <c r="D26" s="13">
        <f>H26*($I$27-C26)</f>
        <v>-289328407492.88885</v>
      </c>
      <c r="E26" s="13">
        <f>H26*(I32-C26)</f>
        <v>-342571510683.82733</v>
      </c>
      <c r="F26" s="14">
        <f>$B$2-0.1+0.05</f>
        <v>0.27</v>
      </c>
      <c r="G26" s="19">
        <f>(F26^3+3*F26^5+10*F26^7+50*F26^10)*(1-F26)/(1-F26^10)</f>
        <v>0.0183497944606331</v>
      </c>
      <c r="H26" s="13">
        <f>I5/G26</f>
        <v>54496523.22511618</v>
      </c>
      <c r="I26" s="24">
        <v>600</v>
      </c>
      <c r="J26" s="13">
        <f>$I$27*F26-(8+2+(7+8+$I$16)*0.99)</f>
        <v>-326.35</v>
      </c>
      <c r="K26" s="27">
        <f>H26/$I$37</f>
        <v>136241.30806279046</v>
      </c>
    </row>
    <row r="27" spans="2:11" ht="12">
      <c r="B27" s="17">
        <f>$I$5/G26*(2+8+I22+$I$10)</f>
        <v>66594751381.09197</v>
      </c>
      <c r="C27" s="13">
        <f>(2+8+I22+$I$10)/F26</f>
        <v>4525.925925925925</v>
      </c>
      <c r="D27" s="13">
        <f>H26*($I$27-C27)</f>
        <v>-137654180887.14526</v>
      </c>
      <c r="E27" s="13">
        <f>H26*(I32-C27)</f>
        <v>-190897284078.08377</v>
      </c>
      <c r="H27" s="13"/>
      <c r="I27" s="24">
        <v>2000</v>
      </c>
      <c r="J27" s="13">
        <f>$I$27*F26-(2+8+$I$22)</f>
        <v>-382</v>
      </c>
      <c r="K27" s="27">
        <f>H26/$I$42</f>
        <v>1816.5507741705392</v>
      </c>
    </row>
    <row r="28" spans="1:11" ht="12">
      <c r="A28" s="12" t="s">
        <v>5</v>
      </c>
      <c r="C28" s="13">
        <f>(7+8+$I$17+$I$11)/F28</f>
        <v>6675</v>
      </c>
      <c r="F28" s="14">
        <f>$B$2-0.05+0.05</f>
        <v>0.32</v>
      </c>
      <c r="J28" s="13"/>
      <c r="K28" s="27"/>
    </row>
    <row r="29" spans="9:11" ht="12">
      <c r="I29" s="22" t="s">
        <v>3</v>
      </c>
      <c r="J29" s="13"/>
      <c r="K29" s="27"/>
    </row>
    <row r="30" spans="1:11" ht="12">
      <c r="A30" s="12" t="s">
        <v>13</v>
      </c>
      <c r="B30" s="15">
        <f>'成功率'!J7*0.01</f>
        <v>0.28875</v>
      </c>
      <c r="I30" s="24">
        <v>93</v>
      </c>
      <c r="J30" s="13"/>
      <c r="K30" s="27"/>
    </row>
    <row r="31" spans="1:11" ht="12">
      <c r="A31" s="12" t="s">
        <v>0</v>
      </c>
      <c r="B31" s="17">
        <f>IF($B$2+0.2&gt;0.99,$I$5/G31*(2+8+(7+8+$I$14)/0.99+$I$8),$I$5/G31*(2+8+(7+8+$I$14)/($B$2+0.2)+$I$8))</f>
        <v>4267828731.7516956</v>
      </c>
      <c r="C31" s="13">
        <f>IF($B$2+0.2&gt;0.99,(2+8+(7+8+$I$14)/0.99+$I$8)/F31,(2+8+(7+8+$I$14)/($B$2+0.2)+$I$8)/F31)</f>
        <v>508.3612040133779</v>
      </c>
      <c r="D31" s="13">
        <f>H31*($I$25-C31)</f>
        <v>-9937106944.067163</v>
      </c>
      <c r="E31" s="13">
        <f>H31*(I30-C31)</f>
        <v>-10107445722.39585</v>
      </c>
      <c r="F31" s="14">
        <f>$B$2-0.05+0.05+0.025</f>
        <v>0.34500000000000003</v>
      </c>
      <c r="G31" s="19">
        <f>(F31^3+3*F31^5+10*F31^7+50*F31^10)*(1-F31)/(1-F31^10)</f>
        <v>0.04109457675276257</v>
      </c>
      <c r="H31" s="13">
        <f>I5/G31</f>
        <v>24334111.1898123</v>
      </c>
      <c r="I31" s="24">
        <v>372</v>
      </c>
      <c r="J31" s="13">
        <f>$I$25*F31-(8+2+(7+8+$I$14)*0.99)</f>
        <v>-34.900000000000006</v>
      </c>
      <c r="K31" s="27">
        <f>H31/$I$35</f>
        <v>40556.8519830205</v>
      </c>
    </row>
    <row r="32" spans="2:11" ht="12">
      <c r="B32" s="17">
        <f>$I$5/G31*(2+8+I20+$I$8)</f>
        <v>2384742896.6016054</v>
      </c>
      <c r="C32" s="13">
        <f>(2+8+I20+$I$8)/F31</f>
        <v>284.05797101449275</v>
      </c>
      <c r="D32" s="13">
        <f>H31*($I$25-C32)</f>
        <v>-4478887132.037916</v>
      </c>
      <c r="E32" s="13">
        <f>H31*(I30-C32)</f>
        <v>-4649225910.366602</v>
      </c>
      <c r="H32" s="13"/>
      <c r="I32" s="24">
        <v>1023</v>
      </c>
      <c r="J32" s="13">
        <f>$I$25*F31-(2+8+$I$20)</f>
        <v>-13.5</v>
      </c>
      <c r="K32" s="27">
        <f>H31/$I$40</f>
        <v>4866.822237962459</v>
      </c>
    </row>
    <row r="33" spans="1:11" ht="12">
      <c r="A33" s="12" t="s">
        <v>1</v>
      </c>
      <c r="B33" s="17">
        <f>IF($B$2+0.2&gt;0.99,$I$5/G33*(2+8+(7+8+$I$15)/0.99+$I$9),$I$5/G33*(2+8+(7+8+$I$15)/($B$2+0.2)+$I$9))</f>
        <v>12318524543.655777</v>
      </c>
      <c r="C33" s="13">
        <f>IF($B$2+0.2&gt;0.99,(2+8+(7+8+$I$15)/0.99+$I$9)/F33,(2+8+(7+8+$I$15)/($B$2+0.2)+$I$9)/F33)</f>
        <v>1225.9615384615386</v>
      </c>
      <c r="D33" s="13">
        <f>H33*($I$26-C33)</f>
        <v>-19655292838.039</v>
      </c>
      <c r="E33" s="13">
        <f>H33*(I31-C33)</f>
        <v>-26814529455.17542</v>
      </c>
      <c r="F33" s="14">
        <f>$B$2-0.075+0.05+0.025</f>
        <v>0.32</v>
      </c>
      <c r="G33" s="19">
        <f>(F33^3+3*F33^5+10*F33^7+50*F33^10)*(1-F33)/(1-F33^10)</f>
        <v>0.03184697087036585</v>
      </c>
      <c r="H33" s="13">
        <f>I5/G33</f>
        <v>31400160.60147551</v>
      </c>
      <c r="I33" s="26"/>
      <c r="J33" s="13">
        <f>$I$26*F33-(8+2+(7+8+$I$15)*0.99)</f>
        <v>18.650000000000006</v>
      </c>
      <c r="K33" s="27">
        <f>H33/$I$36</f>
        <v>157000.80300737754</v>
      </c>
    </row>
    <row r="34" spans="2:11" ht="12">
      <c r="B34" s="17">
        <f>$I$5/G33*(2+8+I21+$I$9)</f>
        <v>15480279176.527428</v>
      </c>
      <c r="C34" s="13">
        <f>(2+8+I21+$I$9)/F33</f>
        <v>1540.625</v>
      </c>
      <c r="D34" s="13">
        <f>H33*($I$26-C34)</f>
        <v>-29535776065.7629</v>
      </c>
      <c r="E34" s="13">
        <f>H33*(I31-C34)</f>
        <v>-36695012682.89932</v>
      </c>
      <c r="H34" s="13"/>
      <c r="I34" s="22" t="s">
        <v>60</v>
      </c>
      <c r="J34" s="13">
        <f>$I$26*F33-(2+8+$I$21)</f>
        <v>-236</v>
      </c>
      <c r="K34" s="27">
        <f>H33/$I$41</f>
        <v>10466.720200491836</v>
      </c>
    </row>
    <row r="35" spans="1:11" ht="12">
      <c r="A35" s="12" t="s">
        <v>2</v>
      </c>
      <c r="B35" s="17">
        <f>IF($B$2+0.2&gt;0.99,$I$5/G35*(2+8+(7+8+$I$16)/0.99+$I$10),$I$5/G35*(2+8+(7+8+$I$16)/($B$2+0.2)+$I$10))</f>
        <v>80975821842.28311</v>
      </c>
      <c r="C35" s="13">
        <f>IF($B$2+0.2&gt;0.99,(2+8+(7+8+$I$16)/0.99+$I$10)/F35,(2+8+(7+8+$I$16)/($B$2+0.2)+$I$10)/F35)</f>
        <v>6689.700130378095</v>
      </c>
      <c r="D35" s="13">
        <f>H35*($I$27-C35)</f>
        <v>-192429553274.8381</v>
      </c>
      <c r="E35" s="13">
        <f>H35*(I32-C35)</f>
        <v>-232518187584.67392</v>
      </c>
      <c r="F35" s="14">
        <f>$B$2-0.1+0.05+0.025</f>
        <v>0.29500000000000004</v>
      </c>
      <c r="G35" s="19">
        <f>(F35^3+3*F35^5+10*F35^7+50*F35^10)*(1-F35)/(1-F35^10)</f>
        <v>0.02437099733677611</v>
      </c>
      <c r="H35" s="13">
        <f>I5/G35</f>
        <v>41032379.02746757</v>
      </c>
      <c r="I35" s="24">
        <v>600</v>
      </c>
      <c r="J35" s="13">
        <f>$I$27*F35-(8+2+(7+8+$I$16)*0.99)</f>
        <v>-276.3499999999999</v>
      </c>
      <c r="K35" s="27">
        <f>H35/$I$37</f>
        <v>102580.94756866893</v>
      </c>
    </row>
    <row r="36" spans="2:11" ht="12">
      <c r="B36" s="17">
        <f>$I$5/G35*(2+8+I22+$I$10)</f>
        <v>50141567171.56537</v>
      </c>
      <c r="C36" s="13">
        <f>(2+8+I22+$I$10)/F35</f>
        <v>4142.372881355932</v>
      </c>
      <c r="D36" s="13">
        <f>H35*($I$27-C36)</f>
        <v>-87906656085.96442</v>
      </c>
      <c r="E36" s="13">
        <f>H35*(I32-C36)</f>
        <v>-127995290395.80023</v>
      </c>
      <c r="H36" s="13"/>
      <c r="I36" s="24">
        <v>200</v>
      </c>
      <c r="J36" s="13">
        <f>$I$27*F35-(2+8+$I$22)</f>
        <v>-331.9999999999999</v>
      </c>
      <c r="K36" s="27">
        <f>H35/$I$42</f>
        <v>1367.7459675822524</v>
      </c>
    </row>
    <row r="37" spans="1:11" ht="12">
      <c r="A37" s="12" t="s">
        <v>5</v>
      </c>
      <c r="C37" s="13">
        <f>(7+8+$I$17+$I$11)/F37</f>
        <v>6191.304347826086</v>
      </c>
      <c r="F37" s="14">
        <f>$B$2-0.05+0.05+0.025</f>
        <v>0.34500000000000003</v>
      </c>
      <c r="I37" s="24">
        <v>400</v>
      </c>
      <c r="J37" s="13"/>
      <c r="K37" s="27"/>
    </row>
    <row r="38" spans="10:11" ht="12">
      <c r="J38" s="13"/>
      <c r="K38" s="27"/>
    </row>
    <row r="39" spans="1:11" ht="12">
      <c r="A39" s="12" t="s">
        <v>73</v>
      </c>
      <c r="B39" s="15">
        <f>B2*1.05</f>
        <v>0.336</v>
      </c>
      <c r="I39" s="21" t="s">
        <v>61</v>
      </c>
      <c r="J39" s="13"/>
      <c r="K39" s="27"/>
    </row>
    <row r="40" spans="1:11" ht="12">
      <c r="A40" s="12" t="s">
        <v>74</v>
      </c>
      <c r="B40" s="11">
        <f>IF(($B$12+0.2)&gt;0.99,$I$5/G40*(2+8+(7+8+$I$14)/0.99+$I$8),$I$5/G40*(2+8+(7+8+$I$14)/($B$2+0.2)+$I$8))</f>
        <v>8181364519.080584</v>
      </c>
      <c r="C40" s="13">
        <f>IF($B$12+0.2&gt;0.99,(2+8+(7+8+$I$14)/0.99+$I$8)/F40,(2+8+(7+8+$I$14)/($B$12+0.2)+$I$8)/F40)</f>
        <v>599.9708752002329</v>
      </c>
      <c r="D40" s="13">
        <f>H40*($I$25-C40)</f>
        <v>-23322706897.44696</v>
      </c>
      <c r="E40" s="13">
        <f>H40*($I$30-C40)</f>
        <v>-23649243814.655876</v>
      </c>
      <c r="F40" s="14">
        <f>F4*1.05</f>
        <v>0.28350000000000003</v>
      </c>
      <c r="G40" s="11">
        <f>(F40^3+3*F40^5+10*F40^7+50*F40^10)*(1-F40)/(1-F40^10)</f>
        <v>0.021437086072327333</v>
      </c>
      <c r="H40" s="11">
        <f>$I$5/G40</f>
        <v>46648131.02984543</v>
      </c>
      <c r="I40" s="24">
        <v>5000</v>
      </c>
      <c r="J40" s="13">
        <f>$I$25*F40-(8+2+(7+8+$I$14)*0.99)</f>
        <v>-41.050000000000004</v>
      </c>
      <c r="K40" s="27">
        <f>H40/$I$35</f>
        <v>77746.88504974238</v>
      </c>
    </row>
    <row r="41" spans="2:11" ht="12">
      <c r="B41" s="11">
        <f>$I$5/G40*(2+8+$I$20+$I$8)</f>
        <v>4571516840.924852</v>
      </c>
      <c r="C41" s="13">
        <f>(2+8+$I$20+$I$8)/F40</f>
        <v>345.679012345679</v>
      </c>
      <c r="D41" s="13">
        <f>H40*($I$25-C41)</f>
        <v>-11460466759.184246</v>
      </c>
      <c r="E41" s="13">
        <f>H40*($I$30-C41)</f>
        <v>-11787003676.393166</v>
      </c>
      <c r="I41" s="24">
        <v>3000</v>
      </c>
      <c r="J41" s="13">
        <f>$I$25*F40-(2+8+$I$20)</f>
        <v>-19.65</v>
      </c>
      <c r="K41" s="27">
        <f>H40/$I$40</f>
        <v>9329.626205969087</v>
      </c>
    </row>
    <row r="42" spans="1:11" ht="12">
      <c r="A42" s="12" t="s">
        <v>75</v>
      </c>
      <c r="B42" s="11">
        <f>IF($B$12+0.2&gt;0.99,$I$5/G42*(2+8+(7+8+$I$15)/0.99+$I$9),$I$5/G42*(2+8+(7+8+$I$15)/($B$12+0.2)+$I$9))</f>
        <v>23975101579.264187</v>
      </c>
      <c r="C42" s="13">
        <f>IF($B$12+0.2&gt;0.99,(2+8+(7+8+$I$15)/0.99+$I$9)/F42,(2+8+(7+8+$I$15)/($B$12+0.2)+$I$9)/F42)</f>
        <v>1468.4248535587237</v>
      </c>
      <c r="D42" s="13">
        <f>H42*($I$26-C42)</f>
        <v>-55117002416.63765</v>
      </c>
      <c r="E42" s="13">
        <f>H42*($I$31-C42)</f>
        <v>-69587657533.76877</v>
      </c>
      <c r="F42" s="14">
        <f>F6*1.05</f>
        <v>0.25725</v>
      </c>
      <c r="G42" s="11">
        <f>(F42^3+3*F42^5+10*F42^7+50*F42^10)*(1-F42)/(1-F42^10)</f>
        <v>0.015756024737959635</v>
      </c>
      <c r="H42" s="11">
        <f>$I$5/G42</f>
        <v>63467785.601452254</v>
      </c>
      <c r="I42" s="24">
        <v>30000</v>
      </c>
      <c r="J42" s="13">
        <f>$I$26*F42-(8+2+(7+8+$I$15)*0.99)</f>
        <v>-19</v>
      </c>
      <c r="K42" s="27">
        <f>H42/$I$36</f>
        <v>317338.92800726125</v>
      </c>
    </row>
    <row r="43" spans="2:11" ht="12">
      <c r="B43" s="11">
        <f>$I$5/G42*(2+8+$I$21+$I$9)</f>
        <v>31289618301.51596</v>
      </c>
      <c r="C43" s="13">
        <f>(2+8+$I$21+$I$9)/F42</f>
        <v>1916.4237123420799</v>
      </c>
      <c r="D43" s="13">
        <f>H42*($I$26-C43)</f>
        <v>-83550497935.59499</v>
      </c>
      <c r="E43" s="13">
        <f>H42*($I$31-C43)</f>
        <v>-98021153052.72609</v>
      </c>
      <c r="J43" s="13">
        <f>$I$26*F42-(2+8+$I$21)</f>
        <v>-273.65</v>
      </c>
      <c r="K43" s="27">
        <f>H42/$I$41</f>
        <v>21155.92853381742</v>
      </c>
    </row>
    <row r="44" spans="1:11" ht="12">
      <c r="A44" s="12" t="s">
        <v>76</v>
      </c>
      <c r="B44" s="11">
        <f>IF((B39+0.2)&gt;0.99,$I$5/G44*(2+8+(7+8+$I$16)/0.99+$I$10),$I$5/G44*(2+8+(7+8+$I$16)/($B$12+0.2)+$I$10))</f>
        <v>168143391768.29797</v>
      </c>
      <c r="C44" s="13">
        <f>IF($B$12+0.2&gt;0.99,(2+8+(7+8+$I$16)/0.99+$I$10)/F44,(2+8+(7+8+$I$16)/($B$12+0.2)+$I$10)/F44)</f>
        <v>8212.796377933992</v>
      </c>
      <c r="D44" s="13">
        <f>H44*($I$27-C44)</f>
        <v>-550635095668.68</v>
      </c>
      <c r="E44" s="13">
        <f>H44*($I$32-C44)</f>
        <v>-637225811948.8743</v>
      </c>
      <c r="F44" s="14">
        <f>F8*1.05</f>
        <v>0.231</v>
      </c>
      <c r="G44" s="11">
        <f>(F44^3+3*F44^5+10*F44^7+50*F44^10)*(1-F44)/(1-F44^10)</f>
        <v>0.011282964756159064</v>
      </c>
      <c r="H44" s="11">
        <f>$I$5/G44</f>
        <v>88629187.59487635</v>
      </c>
      <c r="J44" s="13">
        <f>$I$27*F44-(8+2+(7+8+$I$16)*0.99)</f>
        <v>-404.35</v>
      </c>
      <c r="K44" s="27">
        <f>H44/$I$37</f>
        <v>221572.96898719086</v>
      </c>
    </row>
    <row r="45" spans="2:11" ht="12">
      <c r="B45" s="11">
        <f>$I$5/G44*(2+8+$I$22+$I$10)</f>
        <v>108304867240.9389</v>
      </c>
      <c r="C45" s="13">
        <f>(2+8+$I$22+$I$10)/F44</f>
        <v>5290.04329004329</v>
      </c>
      <c r="D45" s="13">
        <f>H44*($I$27-C45)</f>
        <v>-291593863948.5109</v>
      </c>
      <c r="E45" s="13">
        <f>H44*($I$32-C45)</f>
        <v>-378184580228.7051</v>
      </c>
      <c r="J45" s="13">
        <f>$I$27*F44-(2+8+$I$22)</f>
        <v>-460</v>
      </c>
      <c r="K45" s="27">
        <f>H44/$I$42</f>
        <v>2954.306253162545</v>
      </c>
    </row>
    <row r="46" spans="1:11" ht="12">
      <c r="A46" s="12" t="s">
        <v>77</v>
      </c>
      <c r="C46" s="13">
        <f>(7+8+$I$17+$I$11)/F46</f>
        <v>7534.391534391533</v>
      </c>
      <c r="F46" s="14">
        <f>F10*1.05</f>
        <v>0.28350000000000003</v>
      </c>
      <c r="J46" s="13"/>
      <c r="K46" s="27"/>
    </row>
    <row r="47" spans="10:11" ht="12">
      <c r="J47" s="13"/>
      <c r="K47" s="27"/>
    </row>
    <row r="48" spans="1:11" ht="12">
      <c r="A48" s="12" t="s">
        <v>78</v>
      </c>
      <c r="B48" s="15">
        <f>B12*1.05</f>
        <v>0.36225000000000007</v>
      </c>
      <c r="J48" s="13"/>
      <c r="K48" s="27"/>
    </row>
    <row r="49" spans="1:11" ht="12">
      <c r="A49" s="12" t="s">
        <v>74</v>
      </c>
      <c r="B49" s="11">
        <f>IF(($B$12+0.2)&gt;0.99,$I$5/G49*(2+8+(7+8+$I$14)/0.99+$I$8),$I$5/G49*(2+8+(7+8+$I$14)/($B$2+0.2)+$I$8))</f>
        <v>6135066274.055575</v>
      </c>
      <c r="C49" s="13">
        <f>IF($B$12+0.2&gt;0.99,(2+8+(7+8+$I$14)/0.99+$I$8)/F49,(2+8+(7+8+$I$14)/($B$12+0.2)+$I$8)/F49)</f>
        <v>549.1258857764842</v>
      </c>
      <c r="D49" s="13">
        <f>H49*($I$25-C49)</f>
        <v>-15710711390.44929</v>
      </c>
      <c r="E49" s="13">
        <f>H49*($I$30-C49)</f>
        <v>-15955575877.703262</v>
      </c>
      <c r="F49" s="14">
        <f>F13*1.05</f>
        <v>0.3097500000000001</v>
      </c>
      <c r="G49" s="11">
        <f>(F49^3+3*F49^5+10*F49^7+50*F49^10)*(1-F49)/(1-F49^10)</f>
        <v>0.028587240552933373</v>
      </c>
      <c r="H49" s="11">
        <f>$I$5/G49</f>
        <v>34980641.03628179</v>
      </c>
      <c r="J49" s="13">
        <f>$I$25*F49-(8+2+(7+8+$I$14)*0.99)</f>
        <v>-38.425</v>
      </c>
      <c r="K49" s="27">
        <f>H49/$I$35</f>
        <v>58301.068393802976</v>
      </c>
    </row>
    <row r="50" spans="2:11" ht="12">
      <c r="B50" s="11">
        <f>$I$5/G49*(2+8+$I$20+$I$8)</f>
        <v>3428102821.555615</v>
      </c>
      <c r="C50" s="13">
        <f>(2+8+$I$20+$I$8)/F49</f>
        <v>316.3841807909604</v>
      </c>
      <c r="D50" s="13">
        <f>H49*($I$25-C50)</f>
        <v>-7569257354.178486</v>
      </c>
      <c r="E50" s="13">
        <f>H49*($I$30-C50)</f>
        <v>-7814121841.432459</v>
      </c>
      <c r="J50" s="13">
        <f>$I$25*F49-(2+8+$I$20)</f>
        <v>-17.02499999999999</v>
      </c>
      <c r="K50" s="27">
        <f>H49/$I$40</f>
        <v>6996.128207256357</v>
      </c>
    </row>
    <row r="51" spans="1:11" ht="12">
      <c r="A51" s="12" t="s">
        <v>75</v>
      </c>
      <c r="B51" s="11">
        <f>IF($B$12+0.2&gt;0.99,$I$5/G51*(2+8+(7+8+$I$15)/0.99+$I$9),$I$5/G51*(2+8+(7+8+$I$15)/($B$12+0.2)+$I$9))</f>
        <v>17621438487.650326</v>
      </c>
      <c r="C51" s="13">
        <f>IF($B$12+0.2&gt;0.99,(2+8+(7+8+$I$15)/0.99+$I$9)/F51,(2+8+(7+8+$I$15)/($B$12+0.2)+$I$9)/F51)</f>
        <v>1332.459589340323</v>
      </c>
      <c r="D51" s="13">
        <f>H51*($I$26-C51)</f>
        <v>-34167870897.614162</v>
      </c>
      <c r="E51" s="13">
        <f>H51*($I$31-C51)</f>
        <v>-44803644772.41892</v>
      </c>
      <c r="F51" s="14">
        <f>F15*1.05</f>
        <v>0.28350000000000003</v>
      </c>
      <c r="G51" s="11">
        <f>(F51^3+3*F51^5+10*F51^7+50*F51^10)*(1-F51)/(1-F51^10)</f>
        <v>0.021437086072327333</v>
      </c>
      <c r="H51" s="11">
        <f>$I$5/G51</f>
        <v>46648131.02984543</v>
      </c>
      <c r="J51" s="13">
        <f>$I$26*F51-(8+2+(7+8+$I$15)*0.99)</f>
        <v>-3.2499999999999716</v>
      </c>
      <c r="K51" s="27">
        <f>H51/$I$36</f>
        <v>233240.65514922715</v>
      </c>
    </row>
    <row r="52" spans="2:11" ht="12">
      <c r="B52" s="11">
        <f>$I$5/G51*(2+8+$I$21+$I$9)</f>
        <v>22997528597.7138</v>
      </c>
      <c r="C52" s="13">
        <f>(2+8+$I$21+$I$9)/F51</f>
        <v>1738.9770723104054</v>
      </c>
      <c r="D52" s="13">
        <f>H51*($I$26-C52)</f>
        <v>-53131151709.12553</v>
      </c>
      <c r="E52" s="13">
        <f>H51*($I$31-C52)</f>
        <v>-63766925583.93029</v>
      </c>
      <c r="J52" s="13">
        <f>$I$26*F51-(2+8+$I$21)</f>
        <v>-257.9</v>
      </c>
      <c r="K52" s="27">
        <f>H51/$I$41</f>
        <v>15549.377009948477</v>
      </c>
    </row>
    <row r="53" spans="1:11" ht="12">
      <c r="A53" s="12" t="s">
        <v>76</v>
      </c>
      <c r="B53" s="11">
        <f>IF((B48+0.2)&gt;0.99,$I$5/G53*(2+8+(7+8+$I$16)/0.99+$I$10),$I$5/G53*(2+8+(7+8+$I$16)/($B$12+0.2)+$I$10))</f>
        <v>120408287931.4157</v>
      </c>
      <c r="C53" s="13">
        <f>IF($B$12+0.2&gt;0.99,(2+8+(7+8+$I$16)/0.99+$I$10)/F53,(2+8+(7+8+$I$16)/($B$12+0.2)+$I$10)/F53)</f>
        <v>7374.755931206034</v>
      </c>
      <c r="D53" s="13">
        <f>H53*($I$27-C53)</f>
        <v>-341123857101.9184</v>
      </c>
      <c r="E53" s="13">
        <f>H53*($I$32-C53)</f>
        <v>-403131883634.5373</v>
      </c>
      <c r="F53" s="14">
        <f>F17*1.05</f>
        <v>0.25725</v>
      </c>
      <c r="G53" s="11">
        <f>(F53^3+3*F53^5+10*F53^7+50*F53^10)*(1-F53)/(1-F53^10)</f>
        <v>0.015756024737959635</v>
      </c>
      <c r="H53" s="11">
        <f>$I$5/G53</f>
        <v>63467785.601452254</v>
      </c>
      <c r="J53" s="13">
        <f>$I$27*F53-(8+2+(7+8+$I$16)*0.99)</f>
        <v>-351.85</v>
      </c>
      <c r="K53" s="27">
        <f>H53/$I$37</f>
        <v>158669.46400363062</v>
      </c>
    </row>
    <row r="54" spans="2:11" ht="12">
      <c r="B54" s="11">
        <f>$I$5/G53*(2+8+$I$22+$I$10)</f>
        <v>77557634004.97466</v>
      </c>
      <c r="C54" s="13">
        <f>(2+8+$I$22+$I$10)/F53</f>
        <v>4750.242954324587</v>
      </c>
      <c r="D54" s="13">
        <f>H53*($I$27-C54)</f>
        <v>-174551830176.97754</v>
      </c>
      <c r="E54" s="13">
        <f>H53*($I$32-C54)</f>
        <v>-236559856709.5964</v>
      </c>
      <c r="J54" s="13">
        <f>$I$27*F53-(2+8+$I$22)</f>
        <v>-407.5</v>
      </c>
      <c r="K54" s="27">
        <f>H53/$I$42</f>
        <v>2115.592853381742</v>
      </c>
    </row>
    <row r="55" spans="1:11" ht="12">
      <c r="A55" s="12" t="s">
        <v>77</v>
      </c>
      <c r="C55" s="13">
        <f>(7+8+$I$17+$I$11)/F55</f>
        <v>6895.883777239707</v>
      </c>
      <c r="F55" s="14">
        <f>F19*1.05</f>
        <v>0.3097500000000001</v>
      </c>
      <c r="J55" s="18"/>
      <c r="K55" s="28"/>
    </row>
    <row r="56" spans="10:11" ht="12">
      <c r="J56" s="18"/>
      <c r="K56" s="28"/>
    </row>
    <row r="57" spans="1:11" ht="12">
      <c r="A57" s="12" t="s">
        <v>79</v>
      </c>
      <c r="B57" s="15">
        <f>B30*1.05</f>
        <v>0.3031875</v>
      </c>
      <c r="K57" s="28"/>
    </row>
    <row r="58" spans="1:11" ht="12">
      <c r="A58" s="12" t="s">
        <v>74</v>
      </c>
      <c r="B58" s="11">
        <f>IF(($B$12+0.2)&gt;0.99,$I$5/G58*(2+8+(7+8+$I$14)/0.99+$I$8),$I$5/G58*(2+8+(7+8+$I$14)/($B$2+0.2)+$I$8))</f>
        <v>3600277736.327956</v>
      </c>
      <c r="C58" s="13">
        <f>IF($B$12+0.2&gt;0.99,(2+8+(7+8+$I$14)/0.99+$I$8)/F58,(2+8+(7+8+$I$14)/($B$12+0.2)+$I$8)/F58)</f>
        <v>469.54242406974737</v>
      </c>
      <c r="D58" s="13">
        <f>H58*($I$25-C58)</f>
        <v>-7585929695.653809</v>
      </c>
      <c r="E58" s="13">
        <f>H58*($I$30-C58)</f>
        <v>-7729624991.270407</v>
      </c>
      <c r="F58" s="14">
        <f>F31*1.05</f>
        <v>0.36225000000000007</v>
      </c>
      <c r="G58" s="11">
        <f>(F58^3+3*F58^5+10*F58^7+50*F58^10)*(1-F58)/(1-F58^10)</f>
        <v>0.04871419046784319</v>
      </c>
      <c r="H58" s="11">
        <f>$I$5/G58</f>
        <v>20527899.37379975</v>
      </c>
      <c r="J58" s="18">
        <f>I52*F58-(8+2+(7+8+I41)*0.99)</f>
        <v>-2994.85</v>
      </c>
      <c r="K58" s="28">
        <f>H58/$I$35</f>
        <v>34213.16562299958</v>
      </c>
    </row>
    <row r="59" spans="2:11" ht="12">
      <c r="B59" s="11">
        <f>$I$5/G58*(2+8+$I$20+$I$8)</f>
        <v>2011734138.6323755</v>
      </c>
      <c r="C59" s="13">
        <f>(2+8+$I$20+$I$8)/F58</f>
        <v>270.5314009661835</v>
      </c>
      <c r="D59" s="13">
        <f>H58*($I$25-C59)</f>
        <v>-3500651439.1069126</v>
      </c>
      <c r="E59" s="13">
        <f>H58*($I$30-C59)</f>
        <v>-3644346734.7235107</v>
      </c>
      <c r="J59" s="18">
        <f>I52*F58-(2+8+I47)</f>
        <v>-10</v>
      </c>
      <c r="K59" s="28">
        <f>H58/$I$40</f>
        <v>4105.57987475995</v>
      </c>
    </row>
    <row r="60" spans="1:11" ht="12">
      <c r="A60" s="12" t="s">
        <v>75</v>
      </c>
      <c r="B60" s="11">
        <f>IF($B$12+0.2&gt;0.99,$I$5/G60*(2+8+(7+8+$I$15)/0.99+$I$9),$I$5/G60*(2+8+(7+8+$I$15)/($B$12+0.2)+$I$9))</f>
        <v>10063165519.736118</v>
      </c>
      <c r="C60" s="13">
        <f>IF($B$12+0.2&gt;0.99,(2+8+(7+8+$I$15)/0.99+$I$9)/F60,(2+8+(7+8+$I$15)/($B$12+0.2)+$I$9)/F60)</f>
        <v>1124.2627785058976</v>
      </c>
      <c r="D60" s="13">
        <f>H60*($I$26-C60)</f>
        <v>-13966144496.360283</v>
      </c>
      <c r="E60" s="13">
        <f>H60*($I$31-C60)</f>
        <v>-20039970592.20684</v>
      </c>
      <c r="F60" s="14">
        <f>F33*1.05</f>
        <v>0.336</v>
      </c>
      <c r="G60" s="11">
        <f>(F60^3+3*F60^5+10*F60^7+50*F60^10)*(1-F60)/(1-F60^10)</f>
        <v>0.037538117885184824</v>
      </c>
      <c r="H60" s="11">
        <f>$I$5/G60</f>
        <v>26639588.139677886</v>
      </c>
      <c r="J60" s="18">
        <f>I53*F60-(8+2+(7+8+I42)*0.99)</f>
        <v>-29724.85</v>
      </c>
      <c r="K60" s="28">
        <f>H60/$I$36</f>
        <v>133197.94069838943</v>
      </c>
    </row>
    <row r="61" spans="2:11" ht="12">
      <c r="B61" s="11">
        <f>$I$5/G60*(2+8+$I$21+$I$9)</f>
        <v>13133316952.861198</v>
      </c>
      <c r="C61" s="13">
        <f>(2+8+$I$21+$I$9)/F60</f>
        <v>1467.2619047619046</v>
      </c>
      <c r="D61" s="13">
        <f>H60*($I$26-C61)</f>
        <v>-23103499952.089687</v>
      </c>
      <c r="E61" s="13">
        <f>H60*($I$31-C61)</f>
        <v>-29177326047.936245</v>
      </c>
      <c r="J61" s="18">
        <f>I53*F60-(2+8+I48)</f>
        <v>-10</v>
      </c>
      <c r="K61" s="28">
        <f>H60/$I$41</f>
        <v>8879.862713225963</v>
      </c>
    </row>
    <row r="62" spans="1:11" ht="12">
      <c r="A62" s="12" t="s">
        <v>76</v>
      </c>
      <c r="B62" s="11">
        <f>IF((B57+0.2)&gt;0.99,$I$5/G62*(2+8+(7+8+$I$16)/0.99+$I$10),$I$5/G62*(2+8+(7+8+$I$16)/($B$12+0.2)+$I$10))</f>
        <v>66363731742.13496</v>
      </c>
      <c r="C62" s="13">
        <f>IF($B$12+0.2&gt;0.99,(2+8+(7+8+$I$16)/0.99+$I$10)/F62,(2+8+(7+8+$I$16)/($B$12+0.2)+$I$10)/F62)</f>
        <v>6124.797298798229</v>
      </c>
      <c r="D62" s="13">
        <f>H62*($I$27-C62)</f>
        <v>-144288053656.6856</v>
      </c>
      <c r="E62" s="13">
        <f>H62*($I$32-C62)</f>
        <v>-178464139949.1329</v>
      </c>
      <c r="F62" s="14">
        <f>F35*1.05</f>
        <v>0.3097500000000001</v>
      </c>
      <c r="G62" s="11">
        <f>(F62^3+3*F62^5+10*F62^7+50*F62^10)*(1-F62)/(1-F62^10)</f>
        <v>0.028587240552933373</v>
      </c>
      <c r="H62" s="11">
        <f>$I$5/G62</f>
        <v>34980641.03628179</v>
      </c>
      <c r="J62" s="18">
        <f>I54*F62-(8+2+(7+8+I43)*0.99)</f>
        <v>-24.85</v>
      </c>
      <c r="K62" s="28">
        <f>H62/$I$37</f>
        <v>87451.60259070447</v>
      </c>
    </row>
    <row r="63" spans="2:11" ht="12">
      <c r="B63" s="11">
        <f>$I$5/G62*(2+8+$I$22+$I$10)</f>
        <v>42746343346.33634</v>
      </c>
      <c r="C63" s="13">
        <f>(2+8+$I$22+$I$10)/F62</f>
        <v>3945.1170298627917</v>
      </c>
      <c r="D63" s="13">
        <f>H62*($I$27-C63)</f>
        <v>-68041440595.18892</v>
      </c>
      <c r="E63" s="13">
        <f>H62*($I$32-C63)</f>
        <v>-102217526887.63623</v>
      </c>
      <c r="J63" s="18">
        <f>I54*F62-(2+8+I49)</f>
        <v>-10</v>
      </c>
      <c r="K63" s="28">
        <f>H62/$I$42</f>
        <v>1166.0213678760595</v>
      </c>
    </row>
    <row r="64" spans="1:11" ht="12">
      <c r="A64" s="12" t="s">
        <v>77</v>
      </c>
      <c r="C64" s="13">
        <f>(7+8+$I$17+$I$11)/F64</f>
        <v>5896.480331262939</v>
      </c>
      <c r="F64" s="14">
        <f>F37*1.05</f>
        <v>0.36225000000000007</v>
      </c>
      <c r="K64" s="28"/>
    </row>
  </sheetData>
  <mergeCells count="1">
    <mergeCell ref="D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10" max="12" width="9.00390625" style="34" customWidth="1"/>
  </cols>
  <sheetData>
    <row r="1" spans="2:12" s="8" customFormat="1" ht="13.5">
      <c r="B1" s="8" t="s">
        <v>41</v>
      </c>
      <c r="C1" s="8" t="s">
        <v>26</v>
      </c>
      <c r="D1" s="8" t="s">
        <v>27</v>
      </c>
      <c r="E1" s="8" t="s">
        <v>28</v>
      </c>
      <c r="F1" s="8" t="s">
        <v>57</v>
      </c>
      <c r="G1" s="8" t="s">
        <v>40</v>
      </c>
      <c r="H1" s="8" t="s">
        <v>54</v>
      </c>
      <c r="I1" s="8" t="s">
        <v>55</v>
      </c>
      <c r="J1" s="33" t="s">
        <v>80</v>
      </c>
      <c r="K1" s="33" t="s">
        <v>81</v>
      </c>
      <c r="L1" s="33" t="s">
        <v>56</v>
      </c>
    </row>
    <row r="2" spans="1:12" ht="13.5">
      <c r="A2" t="s">
        <v>29</v>
      </c>
      <c r="B2">
        <f>ステータス!$B$9+20</f>
        <v>47.5</v>
      </c>
      <c r="C2">
        <f>B2+10*(0.1+0.05)</f>
        <v>49</v>
      </c>
      <c r="D2">
        <f>B2+30*0.1</f>
        <v>50.5</v>
      </c>
      <c r="E2">
        <f>B2+10*(0.1+0.05)+30*0.1</f>
        <v>52</v>
      </c>
      <c r="F2">
        <f>B2+10*(0.1+0.05+0.1)</f>
        <v>50</v>
      </c>
      <c r="G2">
        <f>B2+10*(0.1+0.05+0.1)+10*(0.1+0.05)+30*0.1</f>
        <v>54.5</v>
      </c>
      <c r="H2">
        <f aca="true" t="shared" si="0" ref="H2:H13">B2+20*(0.1+0.05+0.1)</f>
        <v>52.5</v>
      </c>
      <c r="I2">
        <f aca="true" t="shared" si="1" ref="I2:I13">B2+20*(0.1+0.05+0.1)+10*(0.1+0.05)+30*0.1</f>
        <v>57</v>
      </c>
      <c r="J2" s="34">
        <f>B2*1.05</f>
        <v>49.875</v>
      </c>
      <c r="K2" s="34">
        <f>E2*1.05</f>
        <v>54.6</v>
      </c>
      <c r="L2" s="34">
        <f>(B2+10*(0.1+0.05+0.1)+20*(0.1+0.05+0.1)+10*(0.1+0.05)+30*0.1)*1.05</f>
        <v>62.475</v>
      </c>
    </row>
    <row r="3" spans="1:12" ht="13.5">
      <c r="A3" t="s">
        <v>5</v>
      </c>
      <c r="B3">
        <f>ステータス!$B$9-5</f>
        <v>22.5</v>
      </c>
      <c r="C3">
        <f aca="true" t="shared" si="2" ref="C3:C13">B3+10*(0.1+0.05)</f>
        <v>24</v>
      </c>
      <c r="D3">
        <f aca="true" t="shared" si="3" ref="D3:D13">B3+30*0.1</f>
        <v>25.5</v>
      </c>
      <c r="E3">
        <f aca="true" t="shared" si="4" ref="E3:E13">B3+10*(0.1+0.05)+30*0.1</f>
        <v>27</v>
      </c>
      <c r="F3">
        <f aca="true" t="shared" si="5" ref="F3:F13">B3+10*(0.1+0.05+0.1)</f>
        <v>25</v>
      </c>
      <c r="G3">
        <f aca="true" t="shared" si="6" ref="G3:G13">B3+10*(0.1+0.05+0.1)+10*(0.1+0.05)+30*0.1</f>
        <v>29.5</v>
      </c>
      <c r="H3">
        <f t="shared" si="0"/>
        <v>27.5</v>
      </c>
      <c r="I3">
        <f t="shared" si="1"/>
        <v>32</v>
      </c>
      <c r="J3" s="34">
        <f aca="true" t="shared" si="7" ref="J3:J13">B3*1.05</f>
        <v>23.625</v>
      </c>
      <c r="K3" s="34">
        <f aca="true" t="shared" si="8" ref="K3:K13">E3*1.05</f>
        <v>28.35</v>
      </c>
      <c r="L3" s="34">
        <f aca="true" t="shared" si="9" ref="L3:L13">(B3+10*(0.1+0.05+0.1)+20*(0.1+0.05+0.1)+10*(0.1+0.05)+30*0.1)*1.05</f>
        <v>36.225</v>
      </c>
    </row>
    <row r="4" spans="1:12" ht="13.5">
      <c r="A4" t="s">
        <v>30</v>
      </c>
      <c r="B4">
        <f>ステータス!$B$9-5</f>
        <v>22.5</v>
      </c>
      <c r="C4">
        <f t="shared" si="2"/>
        <v>24</v>
      </c>
      <c r="D4">
        <f t="shared" si="3"/>
        <v>25.5</v>
      </c>
      <c r="E4">
        <f t="shared" si="4"/>
        <v>27</v>
      </c>
      <c r="F4">
        <f t="shared" si="5"/>
        <v>25</v>
      </c>
      <c r="G4">
        <f t="shared" si="6"/>
        <v>29.5</v>
      </c>
      <c r="H4">
        <f t="shared" si="0"/>
        <v>27.5</v>
      </c>
      <c r="I4">
        <f t="shared" si="1"/>
        <v>32</v>
      </c>
      <c r="J4" s="34">
        <f t="shared" si="7"/>
        <v>23.625</v>
      </c>
      <c r="K4" s="34">
        <f t="shared" si="8"/>
        <v>28.35</v>
      </c>
      <c r="L4" s="34">
        <f t="shared" si="9"/>
        <v>36.225</v>
      </c>
    </row>
    <row r="5" spans="1:12" ht="13.5">
      <c r="A5" t="s">
        <v>31</v>
      </c>
      <c r="B5">
        <f>ステータス!$B$9-7.5</f>
        <v>20</v>
      </c>
      <c r="C5">
        <f t="shared" si="2"/>
        <v>21.5</v>
      </c>
      <c r="D5">
        <f t="shared" si="3"/>
        <v>23</v>
      </c>
      <c r="E5">
        <f t="shared" si="4"/>
        <v>24.5</v>
      </c>
      <c r="F5">
        <f t="shared" si="5"/>
        <v>22.5</v>
      </c>
      <c r="G5">
        <f t="shared" si="6"/>
        <v>27</v>
      </c>
      <c r="H5">
        <f t="shared" si="0"/>
        <v>25</v>
      </c>
      <c r="I5">
        <f t="shared" si="1"/>
        <v>29.5</v>
      </c>
      <c r="J5" s="34">
        <f t="shared" si="7"/>
        <v>21</v>
      </c>
      <c r="K5" s="34">
        <f t="shared" si="8"/>
        <v>25.725</v>
      </c>
      <c r="L5" s="34">
        <f t="shared" si="9"/>
        <v>33.6</v>
      </c>
    </row>
    <row r="6" spans="1:12" ht="13.5">
      <c r="A6" t="s">
        <v>32</v>
      </c>
      <c r="B6">
        <f>ステータス!$B$9-10</f>
        <v>17.5</v>
      </c>
      <c r="C6">
        <f t="shared" si="2"/>
        <v>19</v>
      </c>
      <c r="D6">
        <f t="shared" si="3"/>
        <v>20.5</v>
      </c>
      <c r="E6">
        <f t="shared" si="4"/>
        <v>22</v>
      </c>
      <c r="F6">
        <f t="shared" si="5"/>
        <v>20</v>
      </c>
      <c r="G6">
        <f t="shared" si="6"/>
        <v>24.5</v>
      </c>
      <c r="H6">
        <f t="shared" si="0"/>
        <v>22.5</v>
      </c>
      <c r="I6">
        <f t="shared" si="1"/>
        <v>27</v>
      </c>
      <c r="J6" s="34">
        <f t="shared" si="7"/>
        <v>18.375</v>
      </c>
      <c r="K6" s="34">
        <f t="shared" si="8"/>
        <v>23.1</v>
      </c>
      <c r="L6" s="34">
        <f t="shared" si="9"/>
        <v>30.975</v>
      </c>
    </row>
    <row r="7" spans="1:12" ht="13.5">
      <c r="A7" t="s">
        <v>33</v>
      </c>
      <c r="B7">
        <f>ステータス!$B$9</f>
        <v>27.5</v>
      </c>
      <c r="C7">
        <f t="shared" si="2"/>
        <v>29</v>
      </c>
      <c r="D7">
        <f t="shared" si="3"/>
        <v>30.5</v>
      </c>
      <c r="E7">
        <f t="shared" si="4"/>
        <v>32</v>
      </c>
      <c r="F7">
        <f t="shared" si="5"/>
        <v>30</v>
      </c>
      <c r="G7">
        <f t="shared" si="6"/>
        <v>34.5</v>
      </c>
      <c r="H7">
        <f t="shared" si="0"/>
        <v>32.5</v>
      </c>
      <c r="I7">
        <f t="shared" si="1"/>
        <v>37</v>
      </c>
      <c r="J7" s="34">
        <f t="shared" si="7"/>
        <v>28.875</v>
      </c>
      <c r="K7" s="34">
        <f t="shared" si="8"/>
        <v>33.6</v>
      </c>
      <c r="L7" s="34">
        <f t="shared" si="9"/>
        <v>41.475</v>
      </c>
    </row>
    <row r="8" spans="1:12" ht="13.5">
      <c r="A8" t="s">
        <v>34</v>
      </c>
      <c r="B8">
        <f>ステータス!$B$9-10</f>
        <v>17.5</v>
      </c>
      <c r="C8">
        <f t="shared" si="2"/>
        <v>19</v>
      </c>
      <c r="D8">
        <f t="shared" si="3"/>
        <v>20.5</v>
      </c>
      <c r="E8">
        <f t="shared" si="4"/>
        <v>22</v>
      </c>
      <c r="F8">
        <f t="shared" si="5"/>
        <v>20</v>
      </c>
      <c r="G8">
        <f t="shared" si="6"/>
        <v>24.5</v>
      </c>
      <c r="H8">
        <f t="shared" si="0"/>
        <v>22.5</v>
      </c>
      <c r="I8">
        <f t="shared" si="1"/>
        <v>27</v>
      </c>
      <c r="J8" s="34">
        <f t="shared" si="7"/>
        <v>18.375</v>
      </c>
      <c r="K8" s="34">
        <f t="shared" si="8"/>
        <v>23.1</v>
      </c>
      <c r="L8" s="34">
        <f t="shared" si="9"/>
        <v>30.975</v>
      </c>
    </row>
    <row r="9" spans="1:12" ht="13.5">
      <c r="A9" t="s">
        <v>35</v>
      </c>
      <c r="B9">
        <f>ステータス!$B$9-5</f>
        <v>22.5</v>
      </c>
      <c r="C9">
        <f t="shared" si="2"/>
        <v>24</v>
      </c>
      <c r="D9">
        <f t="shared" si="3"/>
        <v>25.5</v>
      </c>
      <c r="E9">
        <f t="shared" si="4"/>
        <v>27</v>
      </c>
      <c r="F9">
        <f t="shared" si="5"/>
        <v>25</v>
      </c>
      <c r="G9">
        <f t="shared" si="6"/>
        <v>29.5</v>
      </c>
      <c r="H9">
        <f t="shared" si="0"/>
        <v>27.5</v>
      </c>
      <c r="I9">
        <f t="shared" si="1"/>
        <v>32</v>
      </c>
      <c r="J9" s="34">
        <f t="shared" si="7"/>
        <v>23.625</v>
      </c>
      <c r="K9" s="34">
        <f t="shared" si="8"/>
        <v>28.35</v>
      </c>
      <c r="L9" s="34">
        <f t="shared" si="9"/>
        <v>36.225</v>
      </c>
    </row>
    <row r="10" spans="1:12" ht="13.5">
      <c r="A10" t="s">
        <v>36</v>
      </c>
      <c r="B10">
        <f>ステータス!$B$9-5</f>
        <v>22.5</v>
      </c>
      <c r="C10">
        <f t="shared" si="2"/>
        <v>24</v>
      </c>
      <c r="D10">
        <f t="shared" si="3"/>
        <v>25.5</v>
      </c>
      <c r="E10">
        <f t="shared" si="4"/>
        <v>27</v>
      </c>
      <c r="F10">
        <f t="shared" si="5"/>
        <v>25</v>
      </c>
      <c r="G10">
        <f t="shared" si="6"/>
        <v>29.5</v>
      </c>
      <c r="H10">
        <f t="shared" si="0"/>
        <v>27.5</v>
      </c>
      <c r="I10">
        <f t="shared" si="1"/>
        <v>32</v>
      </c>
      <c r="J10" s="34">
        <f t="shared" si="7"/>
        <v>23.625</v>
      </c>
      <c r="K10" s="34">
        <f t="shared" si="8"/>
        <v>28.35</v>
      </c>
      <c r="L10" s="34">
        <f t="shared" si="9"/>
        <v>36.225</v>
      </c>
    </row>
    <row r="11" spans="1:12" ht="13.5">
      <c r="A11" t="s">
        <v>37</v>
      </c>
      <c r="B11">
        <f>ステータス!$B$9+10</f>
        <v>37.5</v>
      </c>
      <c r="C11">
        <f t="shared" si="2"/>
        <v>39</v>
      </c>
      <c r="D11">
        <f t="shared" si="3"/>
        <v>40.5</v>
      </c>
      <c r="E11">
        <f t="shared" si="4"/>
        <v>42</v>
      </c>
      <c r="F11">
        <f t="shared" si="5"/>
        <v>40</v>
      </c>
      <c r="G11">
        <f t="shared" si="6"/>
        <v>44.5</v>
      </c>
      <c r="H11">
        <f t="shared" si="0"/>
        <v>42.5</v>
      </c>
      <c r="I11">
        <f t="shared" si="1"/>
        <v>47</v>
      </c>
      <c r="J11" s="34">
        <f t="shared" si="7"/>
        <v>39.375</v>
      </c>
      <c r="K11" s="34">
        <f t="shared" si="8"/>
        <v>44.1</v>
      </c>
      <c r="L11" s="34">
        <f t="shared" si="9"/>
        <v>51.975</v>
      </c>
    </row>
    <row r="12" spans="1:12" ht="13.5">
      <c r="A12" t="s">
        <v>38</v>
      </c>
      <c r="B12">
        <f>ステータス!$B$9-5</f>
        <v>22.5</v>
      </c>
      <c r="C12">
        <f t="shared" si="2"/>
        <v>24</v>
      </c>
      <c r="D12">
        <f t="shared" si="3"/>
        <v>25.5</v>
      </c>
      <c r="E12">
        <f t="shared" si="4"/>
        <v>27</v>
      </c>
      <c r="F12">
        <f t="shared" si="5"/>
        <v>25</v>
      </c>
      <c r="G12">
        <f t="shared" si="6"/>
        <v>29.5</v>
      </c>
      <c r="H12">
        <f t="shared" si="0"/>
        <v>27.5</v>
      </c>
      <c r="I12">
        <f t="shared" si="1"/>
        <v>32</v>
      </c>
      <c r="J12" s="34">
        <f t="shared" si="7"/>
        <v>23.625</v>
      </c>
      <c r="K12" s="34">
        <f t="shared" si="8"/>
        <v>28.35</v>
      </c>
      <c r="L12" s="34">
        <f t="shared" si="9"/>
        <v>36.225</v>
      </c>
    </row>
    <row r="13" spans="1:12" ht="13.5">
      <c r="A13" t="s">
        <v>39</v>
      </c>
      <c r="B13">
        <f>ステータス!$B$9-5</f>
        <v>22.5</v>
      </c>
      <c r="C13">
        <f t="shared" si="2"/>
        <v>24</v>
      </c>
      <c r="D13">
        <f t="shared" si="3"/>
        <v>25.5</v>
      </c>
      <c r="E13">
        <f t="shared" si="4"/>
        <v>27</v>
      </c>
      <c r="F13">
        <f t="shared" si="5"/>
        <v>25</v>
      </c>
      <c r="G13">
        <f t="shared" si="6"/>
        <v>29.5</v>
      </c>
      <c r="H13">
        <f t="shared" si="0"/>
        <v>27.5</v>
      </c>
      <c r="I13">
        <f t="shared" si="1"/>
        <v>32</v>
      </c>
      <c r="J13" s="34">
        <f t="shared" si="7"/>
        <v>23.625</v>
      </c>
      <c r="K13" s="34">
        <f t="shared" si="8"/>
        <v>28.35</v>
      </c>
      <c r="L13" s="34">
        <f t="shared" si="9"/>
        <v>36.225</v>
      </c>
    </row>
    <row r="16" spans="2:6" ht="13.5">
      <c r="B16" s="1"/>
      <c r="C16" s="1"/>
      <c r="D16" s="1"/>
      <c r="E16" s="1"/>
      <c r="F16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" width="4.625" style="0" customWidth="1"/>
    <col min="3" max="3" width="2.125" style="8" customWidth="1"/>
    <col min="4" max="4" width="4.625" style="0" customWidth="1"/>
    <col min="5" max="5" width="2.125" style="8" customWidth="1"/>
    <col min="6" max="6" width="4.625" style="0" customWidth="1"/>
    <col min="7" max="7" width="2.125" style="8" customWidth="1"/>
    <col min="8" max="8" width="4.625" style="0" customWidth="1"/>
    <col min="10" max="10" width="1.625" style="0" customWidth="1"/>
  </cols>
  <sheetData>
    <row r="1" spans="2:37" s="8" customFormat="1" ht="13.5">
      <c r="B1" s="8" t="s">
        <v>21</v>
      </c>
      <c r="D1" s="8" t="s">
        <v>14</v>
      </c>
      <c r="F1" s="8" t="s">
        <v>23</v>
      </c>
      <c r="H1" s="10" t="s">
        <v>53</v>
      </c>
      <c r="Y1" s="8" t="s">
        <v>62</v>
      </c>
      <c r="Z1" s="8" t="s">
        <v>63</v>
      </c>
      <c r="AC1" s="8" t="s">
        <v>64</v>
      </c>
      <c r="AF1" s="8" t="s">
        <v>65</v>
      </c>
      <c r="AI1" s="8" t="s">
        <v>66</v>
      </c>
      <c r="AJ1" s="8" t="s">
        <v>67</v>
      </c>
      <c r="AK1" s="8" t="s">
        <v>47</v>
      </c>
    </row>
    <row r="2" spans="1:37" ht="13.5">
      <c r="A2" s="8" t="s">
        <v>14</v>
      </c>
      <c r="B2" s="9">
        <v>50</v>
      </c>
      <c r="Y2">
        <v>1</v>
      </c>
      <c r="AF2">
        <v>1</v>
      </c>
      <c r="AG2">
        <v>0</v>
      </c>
      <c r="AH2">
        <v>0</v>
      </c>
      <c r="AI2">
        <v>1</v>
      </c>
      <c r="AJ2">
        <v>1</v>
      </c>
      <c r="AK2">
        <v>0</v>
      </c>
    </row>
    <row r="3" spans="1:37" ht="13.5">
      <c r="A3" s="8" t="s">
        <v>15</v>
      </c>
      <c r="B3" s="9">
        <v>5</v>
      </c>
      <c r="Y3">
        <v>2</v>
      </c>
      <c r="AF3">
        <v>2</v>
      </c>
      <c r="AG3">
        <v>0</v>
      </c>
      <c r="AH3">
        <v>0</v>
      </c>
      <c r="AI3">
        <v>2</v>
      </c>
      <c r="AJ3">
        <v>2</v>
      </c>
      <c r="AK3">
        <v>1</v>
      </c>
    </row>
    <row r="4" spans="1:37" ht="13.5">
      <c r="A4" s="8" t="s">
        <v>25</v>
      </c>
      <c r="B4" s="9">
        <v>1</v>
      </c>
      <c r="Y4">
        <v>3</v>
      </c>
      <c r="AF4">
        <v>2</v>
      </c>
      <c r="AG4">
        <v>1</v>
      </c>
      <c r="AH4">
        <v>0</v>
      </c>
      <c r="AI4">
        <v>3</v>
      </c>
      <c r="AJ4">
        <v>3</v>
      </c>
      <c r="AK4">
        <v>2</v>
      </c>
    </row>
    <row r="5" spans="1:37" ht="13.5">
      <c r="A5" s="8" t="s">
        <v>17</v>
      </c>
      <c r="B5" s="9">
        <v>1</v>
      </c>
      <c r="C5" s="8" t="s">
        <v>19</v>
      </c>
      <c r="D5">
        <f>IF(A100=2,VLOOKUP(B2,$Y$2:$AH$71,5,0),IF(A100=3,VLOOKUP(B2,$Y$2:$AH$71,8,0),VLOOKUP(B2,$Y$8:$AE$71,2,0)))</f>
        <v>7</v>
      </c>
      <c r="E5" s="8" t="s">
        <v>20</v>
      </c>
      <c r="F5" s="9">
        <v>0</v>
      </c>
      <c r="G5" s="8" t="s">
        <v>22</v>
      </c>
      <c r="H5" s="9">
        <v>0</v>
      </c>
      <c r="J5" t="s">
        <v>68</v>
      </c>
      <c r="K5">
        <f>B5+D5+F5+H5</f>
        <v>8</v>
      </c>
      <c r="Y5">
        <v>4</v>
      </c>
      <c r="AF5">
        <v>2</v>
      </c>
      <c r="AG5">
        <v>1</v>
      </c>
      <c r="AH5">
        <v>0</v>
      </c>
      <c r="AI5">
        <v>4</v>
      </c>
      <c r="AJ5">
        <v>4</v>
      </c>
      <c r="AK5">
        <v>3</v>
      </c>
    </row>
    <row r="6" spans="1:37" ht="13.5">
      <c r="A6" s="8" t="s">
        <v>16</v>
      </c>
      <c r="B6" s="9">
        <v>1</v>
      </c>
      <c r="C6" s="8" t="s">
        <v>20</v>
      </c>
      <c r="D6">
        <f>IF(A100=2,VLOOKUP(B2,$Y$2:$AH$71,6,0),IF(A100=3,VLOOKUP(B2,$Y$2:$AH$71,9,0),VLOOKUP(B2,$Y$8:$AE$71,3,0)))</f>
        <v>9</v>
      </c>
      <c r="E6" s="8" t="s">
        <v>20</v>
      </c>
      <c r="F6" s="9">
        <v>0</v>
      </c>
      <c r="G6" s="8" t="s">
        <v>20</v>
      </c>
      <c r="H6" s="9">
        <v>0</v>
      </c>
      <c r="J6" t="s">
        <v>68</v>
      </c>
      <c r="K6">
        <f>B6+D6+F6+H6</f>
        <v>10</v>
      </c>
      <c r="Y6">
        <v>5</v>
      </c>
      <c r="AF6">
        <v>2</v>
      </c>
      <c r="AG6">
        <v>1</v>
      </c>
      <c r="AH6">
        <v>0</v>
      </c>
      <c r="AI6">
        <v>5</v>
      </c>
      <c r="AJ6">
        <v>5</v>
      </c>
      <c r="AK6">
        <v>4</v>
      </c>
    </row>
    <row r="7" spans="1:37" ht="13.5">
      <c r="A7" s="8" t="s">
        <v>18</v>
      </c>
      <c r="B7" s="9">
        <v>1</v>
      </c>
      <c r="C7" s="8" t="s">
        <v>20</v>
      </c>
      <c r="D7">
        <f>IF(A100=2,VLOOKUP(B2,$Y$2:$AH$71,7,0),IF(A100=3,VLOOKUP(B2,$Y$2:$AH$71,10,0),VLOOKUP(B2,$Y$8:$AE$71,4,0)))</f>
        <v>0</v>
      </c>
      <c r="E7" s="8" t="s">
        <v>20</v>
      </c>
      <c r="F7" s="9">
        <v>0</v>
      </c>
      <c r="G7" s="8" t="s">
        <v>20</v>
      </c>
      <c r="H7" s="9">
        <v>0</v>
      </c>
      <c r="J7" t="s">
        <v>68</v>
      </c>
      <c r="K7">
        <f>B7+D7+F7+H7</f>
        <v>1</v>
      </c>
      <c r="Y7">
        <v>6</v>
      </c>
      <c r="AF7">
        <v>2</v>
      </c>
      <c r="AG7">
        <v>2</v>
      </c>
      <c r="AH7">
        <v>0</v>
      </c>
      <c r="AI7">
        <v>6</v>
      </c>
      <c r="AJ7">
        <v>6</v>
      </c>
      <c r="AK7">
        <v>5</v>
      </c>
    </row>
    <row r="8" spans="1:37" ht="13.5">
      <c r="A8" s="32"/>
      <c r="B8" s="32"/>
      <c r="C8" s="32"/>
      <c r="D8" s="32"/>
      <c r="E8" s="32"/>
      <c r="F8" s="32"/>
      <c r="G8" s="32"/>
      <c r="H8" s="32"/>
      <c r="Y8">
        <v>7</v>
      </c>
      <c r="Z8">
        <v>1</v>
      </c>
      <c r="AA8">
        <v>2</v>
      </c>
      <c r="AB8">
        <v>0</v>
      </c>
      <c r="AC8">
        <v>1</v>
      </c>
      <c r="AD8">
        <v>1</v>
      </c>
      <c r="AE8">
        <v>1</v>
      </c>
      <c r="AF8">
        <v>3</v>
      </c>
      <c r="AG8">
        <v>2</v>
      </c>
      <c r="AH8">
        <v>0</v>
      </c>
      <c r="AI8">
        <v>7</v>
      </c>
      <c r="AJ8">
        <v>7</v>
      </c>
      <c r="AK8">
        <v>6</v>
      </c>
    </row>
    <row r="9" spans="1:37" ht="13.5">
      <c r="A9" s="8" t="s">
        <v>11</v>
      </c>
      <c r="B9" s="30">
        <f>IF(A100=3,$B$2*0.2+$B$3*3+$B$4*1+($B$5+$D$5+$H$5+$F$5)*0.05+($B$6+$D$6+$H$6+$F$6)*0.1+($B$7+$D$7+$H$7+$F$7)*0.1-30,$B$2*0.2+$B$3*3+$B$4*1+($B$5+$D$5+$H$5+$F$5)*0.05+($B$6+$D$6+$H$6+$F$6)*0.1+($B$7+$D$7+$H$7+$F$7)*0.1)</f>
        <v>27.5</v>
      </c>
      <c r="C9" s="30"/>
      <c r="Y9">
        <v>8</v>
      </c>
      <c r="Z9">
        <v>1</v>
      </c>
      <c r="AA9">
        <v>3</v>
      </c>
      <c r="AB9">
        <v>0</v>
      </c>
      <c r="AC9">
        <v>1</v>
      </c>
      <c r="AD9">
        <v>1</v>
      </c>
      <c r="AE9">
        <v>2</v>
      </c>
      <c r="AF9">
        <v>3</v>
      </c>
      <c r="AG9">
        <v>2</v>
      </c>
      <c r="AH9">
        <v>0</v>
      </c>
      <c r="AI9">
        <v>8</v>
      </c>
      <c r="AJ9">
        <v>8</v>
      </c>
      <c r="AK9">
        <v>7</v>
      </c>
    </row>
    <row r="10" spans="25:37" ht="13.5">
      <c r="Y10">
        <v>9</v>
      </c>
      <c r="Z10">
        <v>2</v>
      </c>
      <c r="AA10">
        <v>3</v>
      </c>
      <c r="AB10">
        <v>0</v>
      </c>
      <c r="AC10">
        <v>1</v>
      </c>
      <c r="AD10">
        <v>1</v>
      </c>
      <c r="AE10">
        <v>2</v>
      </c>
      <c r="AF10">
        <v>3</v>
      </c>
      <c r="AG10">
        <v>2</v>
      </c>
      <c r="AH10">
        <v>0</v>
      </c>
      <c r="AI10">
        <v>9</v>
      </c>
      <c r="AJ10">
        <v>9</v>
      </c>
      <c r="AK10">
        <v>8</v>
      </c>
    </row>
    <row r="11" spans="9:37" ht="13.5">
      <c r="I11">
        <f>IF(I12="","","ERROR!!!")</f>
      </c>
      <c r="Y11">
        <v>10</v>
      </c>
      <c r="Z11">
        <v>2</v>
      </c>
      <c r="AA11">
        <v>3</v>
      </c>
      <c r="AB11">
        <v>0</v>
      </c>
      <c r="AC11">
        <v>1</v>
      </c>
      <c r="AD11">
        <v>2</v>
      </c>
      <c r="AE11">
        <v>2</v>
      </c>
      <c r="AF11">
        <v>3</v>
      </c>
      <c r="AG11">
        <v>2</v>
      </c>
      <c r="AH11">
        <v>0</v>
      </c>
      <c r="AI11">
        <v>10</v>
      </c>
      <c r="AJ11">
        <v>10</v>
      </c>
      <c r="AK11">
        <v>9</v>
      </c>
    </row>
    <row r="12" spans="9:37" ht="13.5">
      <c r="I12">
        <f>IF(OR(AND(NOT(A100=2),B2&gt;50),AND(NOT(A100=4),B2&lt;7)),"ジョブレベルが設定できない数値になっています",IF(OR(AND(NOT(A100=4),OR(B5&gt;99,B6&gt;99,B7&gt;99)),AND(A100=3,OR(B5&gt;80,B6&gt;80,B7&gt;80))),"ステータスが限界値を超えています",IF(OR(AND(B5+D5&gt;98,F5&gt;0),AND(B5+D5&lt;99,B5+D5+F5&gt;99),AND(B6+D6&gt;98,F6&gt;0),AND(B6+D6&lt;99,B6+D6+F6&gt;99),AND(B7+D7&gt;98,F7&gt;0),AND(B7+D7&lt;99,B7+D7+F7&gt;99)),"MC補正が限界値を超えています","")))</f>
      </c>
      <c r="Y12">
        <v>11</v>
      </c>
      <c r="Z12">
        <v>2</v>
      </c>
      <c r="AA12">
        <v>3</v>
      </c>
      <c r="AB12">
        <v>0</v>
      </c>
      <c r="AC12">
        <v>1</v>
      </c>
      <c r="AD12">
        <v>2</v>
      </c>
      <c r="AE12">
        <v>2</v>
      </c>
      <c r="AF12">
        <v>3</v>
      </c>
      <c r="AG12">
        <v>2</v>
      </c>
      <c r="AH12">
        <v>0</v>
      </c>
      <c r="AJ12">
        <v>11</v>
      </c>
      <c r="AK12">
        <v>10</v>
      </c>
    </row>
    <row r="13" spans="9:37" ht="13.5">
      <c r="I13">
        <f>IF(AND(NOT(I12="ステータスが限界値を超えています"),OR(AND(NOT(A100=4),OR(B5&gt;99,B6&gt;99,B7&gt;99)),AND(A100=3,OR(B5&gt;80,B6&gt;80,B7&gt;80)))),"ステータスが限界値を超えています",IF(AND(NOT(I12=""),NOT(I12="MC補正が限界値を超えています"),OR(AND(B5+D5&gt;98,F5&gt;0),AND(B5+D5&lt;99,B5+D5+F5&gt;99),AND(B6+D6&gt;98,F6&gt;0),AND(B6+D6&lt;99,B6+D6+F6&gt;99),AND(B7+D7&gt;98,F7&gt;0),AND(B7+D7&lt;99,B7+D7+F7&gt;99))),"MC補正が限界値を超えています",""))</f>
      </c>
      <c r="Y13">
        <v>12</v>
      </c>
      <c r="Z13">
        <v>2</v>
      </c>
      <c r="AA13">
        <v>3</v>
      </c>
      <c r="AB13">
        <v>0</v>
      </c>
      <c r="AC13">
        <v>1</v>
      </c>
      <c r="AD13">
        <v>2</v>
      </c>
      <c r="AE13">
        <v>2</v>
      </c>
      <c r="AF13">
        <v>4</v>
      </c>
      <c r="AG13">
        <v>2</v>
      </c>
      <c r="AH13">
        <v>0</v>
      </c>
      <c r="AJ13">
        <v>12</v>
      </c>
      <c r="AK13">
        <v>11</v>
      </c>
    </row>
    <row r="14" spans="9:37" ht="13.5">
      <c r="I14">
        <f>IF(AND(I13="ステータスが限界値を超えています",OR(AND(B5+D5&gt;98,F5&gt;0),AND(B5+D5&lt;99,B5+D5+F5&gt;99),AND(B6+D6&gt;98,F6&gt;0),AND(B6+D6&lt;99,B6+D6+F6&gt;99),AND(B7+D7&gt;98,F7&gt;0),AND(B7+D7&lt;99,B7+D7+F7&gt;99))),"MC補正が限界値を超えています","")</f>
      </c>
      <c r="Y14">
        <v>13</v>
      </c>
      <c r="Z14">
        <v>2</v>
      </c>
      <c r="AA14">
        <v>4</v>
      </c>
      <c r="AB14">
        <v>0</v>
      </c>
      <c r="AC14">
        <v>2</v>
      </c>
      <c r="AD14">
        <v>2</v>
      </c>
      <c r="AE14">
        <v>2</v>
      </c>
      <c r="AF14">
        <v>4</v>
      </c>
      <c r="AG14">
        <v>3</v>
      </c>
      <c r="AH14">
        <v>0</v>
      </c>
      <c r="AJ14">
        <v>13</v>
      </c>
      <c r="AK14">
        <v>12</v>
      </c>
    </row>
    <row r="15" spans="25:37" ht="13.5">
      <c r="Y15">
        <v>14</v>
      </c>
      <c r="Z15">
        <v>2</v>
      </c>
      <c r="AA15">
        <v>4</v>
      </c>
      <c r="AB15">
        <v>0</v>
      </c>
      <c r="AC15">
        <v>2</v>
      </c>
      <c r="AD15">
        <v>2</v>
      </c>
      <c r="AE15">
        <v>2</v>
      </c>
      <c r="AF15">
        <v>4</v>
      </c>
      <c r="AG15">
        <v>3</v>
      </c>
      <c r="AH15">
        <v>0</v>
      </c>
      <c r="AJ15">
        <v>14</v>
      </c>
      <c r="AK15">
        <v>13</v>
      </c>
    </row>
    <row r="16" spans="25:37" ht="13.5">
      <c r="Y16">
        <v>15</v>
      </c>
      <c r="Z16">
        <v>2</v>
      </c>
      <c r="AA16">
        <v>4</v>
      </c>
      <c r="AB16">
        <v>0</v>
      </c>
      <c r="AC16">
        <v>2</v>
      </c>
      <c r="AD16">
        <v>3</v>
      </c>
      <c r="AE16">
        <v>2</v>
      </c>
      <c r="AF16">
        <v>4</v>
      </c>
      <c r="AG16">
        <v>3</v>
      </c>
      <c r="AH16">
        <v>0</v>
      </c>
      <c r="AJ16">
        <v>15</v>
      </c>
      <c r="AK16">
        <v>14</v>
      </c>
    </row>
    <row r="17" spans="25:37" ht="13.5">
      <c r="Y17">
        <v>16</v>
      </c>
      <c r="Z17">
        <v>2</v>
      </c>
      <c r="AA17">
        <v>4</v>
      </c>
      <c r="AB17">
        <v>0</v>
      </c>
      <c r="AC17">
        <v>2</v>
      </c>
      <c r="AD17">
        <v>3</v>
      </c>
      <c r="AE17">
        <v>2</v>
      </c>
      <c r="AF17">
        <v>4</v>
      </c>
      <c r="AG17">
        <v>3</v>
      </c>
      <c r="AH17">
        <v>0</v>
      </c>
      <c r="AJ17">
        <v>16</v>
      </c>
      <c r="AK17">
        <v>15</v>
      </c>
    </row>
    <row r="18" spans="25:37" ht="13.5">
      <c r="Y18">
        <v>17</v>
      </c>
      <c r="Z18">
        <v>3</v>
      </c>
      <c r="AA18">
        <v>4</v>
      </c>
      <c r="AB18">
        <v>0</v>
      </c>
      <c r="AC18">
        <v>2</v>
      </c>
      <c r="AD18">
        <v>3</v>
      </c>
      <c r="AE18">
        <v>2</v>
      </c>
      <c r="AF18">
        <v>4</v>
      </c>
      <c r="AG18">
        <v>3</v>
      </c>
      <c r="AH18">
        <v>0</v>
      </c>
      <c r="AJ18">
        <v>17</v>
      </c>
      <c r="AK18">
        <v>16</v>
      </c>
    </row>
    <row r="19" spans="25:37" ht="13.5">
      <c r="Y19">
        <v>18</v>
      </c>
      <c r="Z19">
        <v>3</v>
      </c>
      <c r="AA19">
        <v>4</v>
      </c>
      <c r="AB19">
        <v>0</v>
      </c>
      <c r="AC19">
        <v>2</v>
      </c>
      <c r="AD19">
        <v>3</v>
      </c>
      <c r="AE19">
        <v>2</v>
      </c>
      <c r="AF19">
        <v>4</v>
      </c>
      <c r="AG19">
        <v>3</v>
      </c>
      <c r="AH19">
        <v>0</v>
      </c>
      <c r="AJ19">
        <v>18</v>
      </c>
      <c r="AK19">
        <v>17</v>
      </c>
    </row>
    <row r="20" spans="25:37" ht="13.5">
      <c r="Y20">
        <v>19</v>
      </c>
      <c r="Z20">
        <v>3</v>
      </c>
      <c r="AA20">
        <v>5</v>
      </c>
      <c r="AB20">
        <v>0</v>
      </c>
      <c r="AC20">
        <v>2</v>
      </c>
      <c r="AD20">
        <v>3</v>
      </c>
      <c r="AE20">
        <v>2</v>
      </c>
      <c r="AF20">
        <v>4</v>
      </c>
      <c r="AG20">
        <v>4</v>
      </c>
      <c r="AH20">
        <v>0</v>
      </c>
      <c r="AJ20">
        <v>19</v>
      </c>
      <c r="AK20">
        <v>18</v>
      </c>
    </row>
    <row r="21" spans="25:37" ht="13.5">
      <c r="Y21">
        <v>20</v>
      </c>
      <c r="Z21">
        <v>3</v>
      </c>
      <c r="AA21">
        <v>5</v>
      </c>
      <c r="AB21">
        <v>0</v>
      </c>
      <c r="AC21">
        <v>2</v>
      </c>
      <c r="AD21">
        <v>3</v>
      </c>
      <c r="AE21">
        <v>3</v>
      </c>
      <c r="AF21">
        <v>4</v>
      </c>
      <c r="AG21">
        <v>4</v>
      </c>
      <c r="AH21">
        <v>0</v>
      </c>
      <c r="AJ21">
        <v>20</v>
      </c>
      <c r="AK21">
        <v>19</v>
      </c>
    </row>
    <row r="22" spans="25:37" ht="13.5">
      <c r="Y22">
        <v>21</v>
      </c>
      <c r="Z22">
        <v>3</v>
      </c>
      <c r="AA22">
        <v>6</v>
      </c>
      <c r="AB22">
        <v>0</v>
      </c>
      <c r="AC22">
        <v>2</v>
      </c>
      <c r="AD22">
        <v>3</v>
      </c>
      <c r="AE22">
        <v>3</v>
      </c>
      <c r="AF22">
        <v>4</v>
      </c>
      <c r="AG22">
        <v>4</v>
      </c>
      <c r="AH22">
        <v>0</v>
      </c>
      <c r="AJ22">
        <v>21</v>
      </c>
      <c r="AK22">
        <v>20</v>
      </c>
    </row>
    <row r="23" spans="25:37" ht="13.5">
      <c r="Y23">
        <v>22</v>
      </c>
      <c r="Z23">
        <v>3</v>
      </c>
      <c r="AA23">
        <v>6</v>
      </c>
      <c r="AB23">
        <v>0</v>
      </c>
      <c r="AC23">
        <v>3</v>
      </c>
      <c r="AD23">
        <v>3</v>
      </c>
      <c r="AE23">
        <v>3</v>
      </c>
      <c r="AF23">
        <v>4</v>
      </c>
      <c r="AG23">
        <v>4</v>
      </c>
      <c r="AH23">
        <v>0</v>
      </c>
      <c r="AJ23">
        <v>22</v>
      </c>
      <c r="AK23">
        <v>21</v>
      </c>
    </row>
    <row r="24" spans="25:37" ht="13.5">
      <c r="Y24">
        <v>23</v>
      </c>
      <c r="Z24">
        <v>4</v>
      </c>
      <c r="AA24">
        <v>6</v>
      </c>
      <c r="AB24">
        <v>0</v>
      </c>
      <c r="AC24">
        <v>3</v>
      </c>
      <c r="AD24">
        <v>4</v>
      </c>
      <c r="AE24">
        <v>3</v>
      </c>
      <c r="AF24">
        <v>5</v>
      </c>
      <c r="AG24">
        <v>4</v>
      </c>
      <c r="AH24">
        <v>0</v>
      </c>
      <c r="AJ24">
        <v>23</v>
      </c>
      <c r="AK24">
        <v>22</v>
      </c>
    </row>
    <row r="25" spans="25:37" ht="13.5">
      <c r="Y25">
        <v>24</v>
      </c>
      <c r="Z25">
        <v>5</v>
      </c>
      <c r="AA25">
        <v>6</v>
      </c>
      <c r="AB25">
        <v>0</v>
      </c>
      <c r="AC25">
        <v>3</v>
      </c>
      <c r="AD25">
        <v>4</v>
      </c>
      <c r="AE25">
        <v>3</v>
      </c>
      <c r="AF25">
        <v>5</v>
      </c>
      <c r="AG25">
        <v>4</v>
      </c>
      <c r="AH25">
        <v>0</v>
      </c>
      <c r="AJ25">
        <v>24</v>
      </c>
      <c r="AK25">
        <v>23</v>
      </c>
    </row>
    <row r="26" spans="25:37" ht="13.5">
      <c r="Y26">
        <v>25</v>
      </c>
      <c r="Z26">
        <v>5</v>
      </c>
      <c r="AA26">
        <v>7</v>
      </c>
      <c r="AB26">
        <v>0</v>
      </c>
      <c r="AC26">
        <v>3</v>
      </c>
      <c r="AD26">
        <v>4</v>
      </c>
      <c r="AE26">
        <v>4</v>
      </c>
      <c r="AF26">
        <v>5</v>
      </c>
      <c r="AG26">
        <v>4</v>
      </c>
      <c r="AH26">
        <v>0</v>
      </c>
      <c r="AJ26">
        <v>25</v>
      </c>
      <c r="AK26">
        <v>24</v>
      </c>
    </row>
    <row r="27" spans="25:37" ht="13.5">
      <c r="Y27">
        <v>26</v>
      </c>
      <c r="Z27">
        <v>5</v>
      </c>
      <c r="AA27">
        <v>7</v>
      </c>
      <c r="AB27">
        <v>0</v>
      </c>
      <c r="AC27">
        <v>3</v>
      </c>
      <c r="AD27">
        <v>4</v>
      </c>
      <c r="AE27">
        <v>4</v>
      </c>
      <c r="AF27">
        <v>5</v>
      </c>
      <c r="AG27">
        <v>4</v>
      </c>
      <c r="AH27">
        <v>0</v>
      </c>
      <c r="AJ27">
        <v>26</v>
      </c>
      <c r="AK27">
        <v>25</v>
      </c>
    </row>
    <row r="28" spans="25:37" ht="13.5">
      <c r="Y28">
        <v>27</v>
      </c>
      <c r="Z28">
        <v>5</v>
      </c>
      <c r="AA28">
        <v>7</v>
      </c>
      <c r="AB28">
        <v>0</v>
      </c>
      <c r="AC28">
        <v>3</v>
      </c>
      <c r="AD28">
        <v>4</v>
      </c>
      <c r="AE28">
        <v>4</v>
      </c>
      <c r="AF28">
        <v>5</v>
      </c>
      <c r="AG28">
        <v>4</v>
      </c>
      <c r="AH28">
        <v>0</v>
      </c>
      <c r="AJ28">
        <v>27</v>
      </c>
      <c r="AK28">
        <v>26</v>
      </c>
    </row>
    <row r="29" spans="25:37" ht="13.5">
      <c r="Y29">
        <v>28</v>
      </c>
      <c r="Z29">
        <v>5</v>
      </c>
      <c r="AA29">
        <v>8</v>
      </c>
      <c r="AB29">
        <v>0</v>
      </c>
      <c r="AC29">
        <v>3</v>
      </c>
      <c r="AD29">
        <v>4</v>
      </c>
      <c r="AE29">
        <v>4</v>
      </c>
      <c r="AF29">
        <v>5</v>
      </c>
      <c r="AG29">
        <v>5</v>
      </c>
      <c r="AH29">
        <v>0</v>
      </c>
      <c r="AJ29">
        <v>28</v>
      </c>
      <c r="AK29">
        <v>27</v>
      </c>
    </row>
    <row r="30" spans="25:37" ht="13.5">
      <c r="Y30">
        <v>29</v>
      </c>
      <c r="Z30">
        <v>6</v>
      </c>
      <c r="AA30">
        <v>8</v>
      </c>
      <c r="AB30">
        <v>0</v>
      </c>
      <c r="AC30">
        <v>3</v>
      </c>
      <c r="AD30">
        <v>4</v>
      </c>
      <c r="AE30">
        <v>4</v>
      </c>
      <c r="AF30">
        <v>5</v>
      </c>
      <c r="AG30">
        <v>5</v>
      </c>
      <c r="AH30">
        <v>0</v>
      </c>
      <c r="AJ30">
        <v>29</v>
      </c>
      <c r="AK30">
        <v>28</v>
      </c>
    </row>
    <row r="31" spans="25:37" ht="13.5">
      <c r="Y31">
        <v>30</v>
      </c>
      <c r="Z31">
        <v>6</v>
      </c>
      <c r="AA31">
        <v>8</v>
      </c>
      <c r="AB31">
        <v>0</v>
      </c>
      <c r="AC31">
        <v>4</v>
      </c>
      <c r="AD31">
        <v>4</v>
      </c>
      <c r="AE31">
        <v>4</v>
      </c>
      <c r="AF31">
        <v>5</v>
      </c>
      <c r="AG31">
        <v>5</v>
      </c>
      <c r="AH31">
        <v>0</v>
      </c>
      <c r="AJ31">
        <v>30</v>
      </c>
      <c r="AK31">
        <v>29</v>
      </c>
    </row>
    <row r="32" spans="25:37" ht="13.5">
      <c r="Y32">
        <v>31</v>
      </c>
      <c r="Z32">
        <v>6</v>
      </c>
      <c r="AA32">
        <v>8</v>
      </c>
      <c r="AB32">
        <v>0</v>
      </c>
      <c r="AC32">
        <v>4</v>
      </c>
      <c r="AD32">
        <v>4</v>
      </c>
      <c r="AE32">
        <v>4</v>
      </c>
      <c r="AF32">
        <v>5</v>
      </c>
      <c r="AG32">
        <v>5</v>
      </c>
      <c r="AH32">
        <v>1</v>
      </c>
      <c r="AJ32">
        <v>31</v>
      </c>
      <c r="AK32">
        <v>30</v>
      </c>
    </row>
    <row r="33" spans="25:37" ht="13.5">
      <c r="Y33">
        <v>32</v>
      </c>
      <c r="Z33">
        <v>6</v>
      </c>
      <c r="AA33">
        <v>9</v>
      </c>
      <c r="AB33">
        <v>0</v>
      </c>
      <c r="AC33">
        <v>4</v>
      </c>
      <c r="AD33">
        <v>4</v>
      </c>
      <c r="AE33">
        <v>4</v>
      </c>
      <c r="AF33">
        <v>5</v>
      </c>
      <c r="AG33">
        <v>5</v>
      </c>
      <c r="AH33">
        <v>1</v>
      </c>
      <c r="AJ33">
        <v>32</v>
      </c>
      <c r="AK33">
        <v>31</v>
      </c>
    </row>
    <row r="34" spans="25:37" ht="13.5">
      <c r="Y34">
        <v>33</v>
      </c>
      <c r="Z34">
        <v>6</v>
      </c>
      <c r="AA34">
        <v>9</v>
      </c>
      <c r="AB34">
        <v>0</v>
      </c>
      <c r="AC34">
        <v>4</v>
      </c>
      <c r="AD34">
        <v>4</v>
      </c>
      <c r="AE34">
        <v>4</v>
      </c>
      <c r="AF34">
        <v>5</v>
      </c>
      <c r="AG34">
        <v>5</v>
      </c>
      <c r="AH34">
        <v>1</v>
      </c>
      <c r="AJ34">
        <v>33</v>
      </c>
      <c r="AK34">
        <v>32</v>
      </c>
    </row>
    <row r="35" spans="25:37" ht="13.5">
      <c r="Y35">
        <v>34</v>
      </c>
      <c r="Z35">
        <v>6</v>
      </c>
      <c r="AA35">
        <v>9</v>
      </c>
      <c r="AB35">
        <v>0</v>
      </c>
      <c r="AC35">
        <v>4</v>
      </c>
      <c r="AD35">
        <v>4</v>
      </c>
      <c r="AE35">
        <v>5</v>
      </c>
      <c r="AF35">
        <v>5</v>
      </c>
      <c r="AG35">
        <v>5</v>
      </c>
      <c r="AH35">
        <v>1</v>
      </c>
      <c r="AJ35">
        <v>34</v>
      </c>
      <c r="AK35">
        <v>33</v>
      </c>
    </row>
    <row r="36" spans="25:37" ht="13.5">
      <c r="Y36">
        <v>35</v>
      </c>
      <c r="Z36">
        <v>6</v>
      </c>
      <c r="AA36">
        <v>9</v>
      </c>
      <c r="AB36">
        <v>0</v>
      </c>
      <c r="AC36">
        <v>4</v>
      </c>
      <c r="AD36">
        <v>5</v>
      </c>
      <c r="AE36">
        <v>5</v>
      </c>
      <c r="AF36">
        <v>6</v>
      </c>
      <c r="AG36">
        <v>5</v>
      </c>
      <c r="AH36">
        <v>1</v>
      </c>
      <c r="AJ36">
        <v>35</v>
      </c>
      <c r="AK36">
        <v>34</v>
      </c>
    </row>
    <row r="37" spans="25:37" ht="13.5">
      <c r="Y37">
        <v>36</v>
      </c>
      <c r="Z37">
        <v>6</v>
      </c>
      <c r="AA37">
        <v>9</v>
      </c>
      <c r="AB37">
        <v>0</v>
      </c>
      <c r="AC37">
        <v>4</v>
      </c>
      <c r="AD37">
        <v>5</v>
      </c>
      <c r="AE37">
        <v>5</v>
      </c>
      <c r="AF37">
        <v>7</v>
      </c>
      <c r="AG37">
        <v>5</v>
      </c>
      <c r="AH37">
        <v>1</v>
      </c>
      <c r="AJ37">
        <v>36</v>
      </c>
      <c r="AK37">
        <v>35</v>
      </c>
    </row>
    <row r="38" spans="25:37" ht="13.5">
      <c r="Y38">
        <v>37</v>
      </c>
      <c r="Z38">
        <v>6</v>
      </c>
      <c r="AA38">
        <v>9</v>
      </c>
      <c r="AB38">
        <v>0</v>
      </c>
      <c r="AC38">
        <v>4</v>
      </c>
      <c r="AD38">
        <v>5</v>
      </c>
      <c r="AE38">
        <v>5</v>
      </c>
      <c r="AF38">
        <v>7</v>
      </c>
      <c r="AG38">
        <v>5</v>
      </c>
      <c r="AH38">
        <v>1</v>
      </c>
      <c r="AJ38">
        <v>37</v>
      </c>
      <c r="AK38">
        <v>36</v>
      </c>
    </row>
    <row r="39" spans="25:37" ht="13.5">
      <c r="Y39">
        <v>38</v>
      </c>
      <c r="Z39">
        <v>7</v>
      </c>
      <c r="AA39">
        <v>9</v>
      </c>
      <c r="AB39">
        <v>0</v>
      </c>
      <c r="AC39">
        <v>4</v>
      </c>
      <c r="AD39">
        <v>5</v>
      </c>
      <c r="AE39">
        <v>5</v>
      </c>
      <c r="AF39">
        <v>7</v>
      </c>
      <c r="AG39">
        <v>5</v>
      </c>
      <c r="AH39">
        <v>1</v>
      </c>
      <c r="AJ39">
        <v>38</v>
      </c>
      <c r="AK39">
        <v>37</v>
      </c>
    </row>
    <row r="40" spans="25:37" ht="13.5">
      <c r="Y40">
        <v>39</v>
      </c>
      <c r="Z40">
        <v>7</v>
      </c>
      <c r="AA40">
        <v>9</v>
      </c>
      <c r="AB40">
        <v>0</v>
      </c>
      <c r="AC40">
        <v>4</v>
      </c>
      <c r="AD40">
        <v>5</v>
      </c>
      <c r="AE40">
        <v>5</v>
      </c>
      <c r="AF40">
        <v>7</v>
      </c>
      <c r="AG40">
        <v>6</v>
      </c>
      <c r="AH40">
        <v>1</v>
      </c>
      <c r="AJ40">
        <v>39</v>
      </c>
      <c r="AK40">
        <v>38</v>
      </c>
    </row>
    <row r="41" spans="25:37" ht="13.5">
      <c r="Y41">
        <v>40</v>
      </c>
      <c r="Z41">
        <v>7</v>
      </c>
      <c r="AA41">
        <v>9</v>
      </c>
      <c r="AB41">
        <v>0</v>
      </c>
      <c r="AC41">
        <v>4</v>
      </c>
      <c r="AD41">
        <v>5</v>
      </c>
      <c r="AE41">
        <v>5</v>
      </c>
      <c r="AF41">
        <v>7</v>
      </c>
      <c r="AG41">
        <v>6</v>
      </c>
      <c r="AH41">
        <v>1</v>
      </c>
      <c r="AJ41">
        <v>40</v>
      </c>
      <c r="AK41">
        <v>39</v>
      </c>
    </row>
    <row r="42" spans="25:37" ht="13.5">
      <c r="Y42">
        <v>41</v>
      </c>
      <c r="Z42">
        <v>7</v>
      </c>
      <c r="AA42">
        <v>9</v>
      </c>
      <c r="AB42">
        <v>0</v>
      </c>
      <c r="AC42">
        <v>4</v>
      </c>
      <c r="AD42">
        <v>6</v>
      </c>
      <c r="AE42">
        <v>5</v>
      </c>
      <c r="AF42">
        <v>8</v>
      </c>
      <c r="AG42">
        <v>6</v>
      </c>
      <c r="AH42">
        <v>1</v>
      </c>
      <c r="AJ42">
        <v>41</v>
      </c>
      <c r="AK42">
        <v>40</v>
      </c>
    </row>
    <row r="43" spans="25:37" ht="13.5">
      <c r="Y43">
        <v>42</v>
      </c>
      <c r="Z43">
        <v>7</v>
      </c>
      <c r="AA43">
        <v>9</v>
      </c>
      <c r="AB43">
        <v>0</v>
      </c>
      <c r="AC43">
        <v>4</v>
      </c>
      <c r="AD43">
        <v>7</v>
      </c>
      <c r="AE43">
        <v>5</v>
      </c>
      <c r="AF43">
        <v>8</v>
      </c>
      <c r="AG43">
        <v>6</v>
      </c>
      <c r="AH43">
        <v>1</v>
      </c>
      <c r="AJ43">
        <v>42</v>
      </c>
      <c r="AK43">
        <v>41</v>
      </c>
    </row>
    <row r="44" spans="25:37" ht="13.5">
      <c r="Y44">
        <v>43</v>
      </c>
      <c r="Z44">
        <v>7</v>
      </c>
      <c r="AA44">
        <v>9</v>
      </c>
      <c r="AB44">
        <v>0</v>
      </c>
      <c r="AC44">
        <v>4</v>
      </c>
      <c r="AD44">
        <v>8</v>
      </c>
      <c r="AE44">
        <v>5</v>
      </c>
      <c r="AF44">
        <v>8</v>
      </c>
      <c r="AG44">
        <v>6</v>
      </c>
      <c r="AH44">
        <v>1</v>
      </c>
      <c r="AJ44">
        <v>43</v>
      </c>
      <c r="AK44">
        <v>42</v>
      </c>
    </row>
    <row r="45" spans="25:37" ht="13.5">
      <c r="Y45">
        <v>44</v>
      </c>
      <c r="Z45">
        <v>7</v>
      </c>
      <c r="AA45">
        <v>9</v>
      </c>
      <c r="AB45">
        <v>0</v>
      </c>
      <c r="AC45">
        <v>4</v>
      </c>
      <c r="AD45">
        <v>8</v>
      </c>
      <c r="AE45">
        <v>5</v>
      </c>
      <c r="AF45">
        <v>9</v>
      </c>
      <c r="AG45">
        <v>6</v>
      </c>
      <c r="AH45">
        <v>1</v>
      </c>
      <c r="AJ45">
        <v>44</v>
      </c>
      <c r="AK45">
        <v>43</v>
      </c>
    </row>
    <row r="46" spans="25:37" ht="13.5">
      <c r="Y46">
        <v>45</v>
      </c>
      <c r="Z46">
        <v>7</v>
      </c>
      <c r="AA46">
        <v>9</v>
      </c>
      <c r="AB46">
        <v>0</v>
      </c>
      <c r="AC46">
        <v>4</v>
      </c>
      <c r="AD46">
        <v>8</v>
      </c>
      <c r="AE46">
        <v>6</v>
      </c>
      <c r="AF46">
        <v>10</v>
      </c>
      <c r="AG46">
        <v>6</v>
      </c>
      <c r="AH46">
        <v>1</v>
      </c>
      <c r="AJ46">
        <v>45</v>
      </c>
      <c r="AK46">
        <v>44</v>
      </c>
    </row>
    <row r="47" spans="25:37" ht="13.5">
      <c r="Y47">
        <v>46</v>
      </c>
      <c r="Z47">
        <v>7</v>
      </c>
      <c r="AA47">
        <v>9</v>
      </c>
      <c r="AB47">
        <v>0</v>
      </c>
      <c r="AC47">
        <v>5</v>
      </c>
      <c r="AD47">
        <v>8</v>
      </c>
      <c r="AE47">
        <v>6</v>
      </c>
      <c r="AF47">
        <v>10</v>
      </c>
      <c r="AG47">
        <v>6</v>
      </c>
      <c r="AH47">
        <v>1</v>
      </c>
      <c r="AJ47">
        <v>46</v>
      </c>
      <c r="AK47">
        <v>45</v>
      </c>
    </row>
    <row r="48" spans="25:37" ht="13.5">
      <c r="Y48">
        <v>47</v>
      </c>
      <c r="Z48">
        <v>7</v>
      </c>
      <c r="AA48">
        <v>9</v>
      </c>
      <c r="AB48">
        <v>0</v>
      </c>
      <c r="AC48">
        <v>5</v>
      </c>
      <c r="AD48">
        <v>9</v>
      </c>
      <c r="AE48">
        <v>6</v>
      </c>
      <c r="AF48">
        <v>10</v>
      </c>
      <c r="AG48">
        <v>6</v>
      </c>
      <c r="AH48">
        <v>1</v>
      </c>
      <c r="AJ48">
        <v>47</v>
      </c>
      <c r="AK48">
        <v>46</v>
      </c>
    </row>
    <row r="49" spans="25:37" ht="13.5">
      <c r="Y49">
        <v>48</v>
      </c>
      <c r="Z49">
        <v>7</v>
      </c>
      <c r="AA49">
        <v>9</v>
      </c>
      <c r="AB49">
        <v>0</v>
      </c>
      <c r="AC49">
        <v>5</v>
      </c>
      <c r="AD49">
        <v>9</v>
      </c>
      <c r="AE49">
        <v>6</v>
      </c>
      <c r="AF49">
        <v>10</v>
      </c>
      <c r="AG49">
        <v>6</v>
      </c>
      <c r="AH49">
        <v>1</v>
      </c>
      <c r="AJ49">
        <v>48</v>
      </c>
      <c r="AK49">
        <v>47</v>
      </c>
    </row>
    <row r="50" spans="25:37" ht="13.5">
      <c r="Y50">
        <v>49</v>
      </c>
      <c r="Z50">
        <v>7</v>
      </c>
      <c r="AA50">
        <v>9</v>
      </c>
      <c r="AB50">
        <v>0</v>
      </c>
      <c r="AC50">
        <v>5</v>
      </c>
      <c r="AD50">
        <v>10</v>
      </c>
      <c r="AE50">
        <v>6</v>
      </c>
      <c r="AF50">
        <v>10</v>
      </c>
      <c r="AG50">
        <v>6</v>
      </c>
      <c r="AH50">
        <v>1</v>
      </c>
      <c r="AJ50">
        <v>49</v>
      </c>
      <c r="AK50">
        <v>48</v>
      </c>
    </row>
    <row r="51" spans="25:37" ht="13.5">
      <c r="Y51">
        <v>50</v>
      </c>
      <c r="Z51">
        <v>7</v>
      </c>
      <c r="AA51">
        <v>9</v>
      </c>
      <c r="AB51">
        <v>0</v>
      </c>
      <c r="AC51">
        <v>5</v>
      </c>
      <c r="AD51">
        <v>10</v>
      </c>
      <c r="AE51">
        <v>6</v>
      </c>
      <c r="AF51">
        <v>11</v>
      </c>
      <c r="AG51">
        <v>6</v>
      </c>
      <c r="AH51">
        <v>1</v>
      </c>
      <c r="AJ51">
        <v>50</v>
      </c>
      <c r="AK51">
        <v>49</v>
      </c>
    </row>
    <row r="52" spans="25:37" ht="13.5">
      <c r="Y52">
        <v>51</v>
      </c>
      <c r="AC52">
        <v>5</v>
      </c>
      <c r="AD52">
        <v>10</v>
      </c>
      <c r="AE52">
        <v>7</v>
      </c>
      <c r="AJ52">
        <v>51</v>
      </c>
      <c r="AK52">
        <v>50</v>
      </c>
    </row>
    <row r="53" spans="25:37" ht="13.5">
      <c r="Y53">
        <v>52</v>
      </c>
      <c r="AC53">
        <v>5</v>
      </c>
      <c r="AD53">
        <v>10</v>
      </c>
      <c r="AE53">
        <v>8</v>
      </c>
      <c r="AJ53">
        <v>52</v>
      </c>
      <c r="AK53">
        <v>51</v>
      </c>
    </row>
    <row r="54" spans="25:37" ht="13.5">
      <c r="Y54">
        <v>53</v>
      </c>
      <c r="AC54">
        <v>5</v>
      </c>
      <c r="AD54">
        <v>10</v>
      </c>
      <c r="AE54">
        <v>8</v>
      </c>
      <c r="AJ54">
        <v>53</v>
      </c>
      <c r="AK54">
        <v>52</v>
      </c>
    </row>
    <row r="55" spans="25:37" ht="13.5">
      <c r="Y55">
        <v>54</v>
      </c>
      <c r="AC55">
        <v>5</v>
      </c>
      <c r="AD55">
        <v>10</v>
      </c>
      <c r="AE55">
        <v>8</v>
      </c>
      <c r="AJ55">
        <v>54</v>
      </c>
      <c r="AK55">
        <v>53</v>
      </c>
    </row>
    <row r="56" spans="25:37" ht="13.5">
      <c r="Y56">
        <v>55</v>
      </c>
      <c r="AC56">
        <v>5</v>
      </c>
      <c r="AD56">
        <v>10</v>
      </c>
      <c r="AE56">
        <v>8</v>
      </c>
      <c r="AJ56">
        <v>55</v>
      </c>
      <c r="AK56">
        <v>54</v>
      </c>
    </row>
    <row r="57" spans="25:37" ht="13.5">
      <c r="Y57">
        <v>56</v>
      </c>
      <c r="AC57">
        <v>5</v>
      </c>
      <c r="AD57">
        <v>11</v>
      </c>
      <c r="AE57">
        <v>8</v>
      </c>
      <c r="AJ57">
        <v>56</v>
      </c>
      <c r="AK57">
        <v>55</v>
      </c>
    </row>
    <row r="58" spans="25:37" ht="13.5">
      <c r="Y58">
        <v>57</v>
      </c>
      <c r="AC58">
        <v>5</v>
      </c>
      <c r="AD58">
        <v>12</v>
      </c>
      <c r="AE58">
        <v>8</v>
      </c>
      <c r="AJ58">
        <v>57</v>
      </c>
      <c r="AK58">
        <v>56</v>
      </c>
    </row>
    <row r="59" spans="25:37" ht="13.5">
      <c r="Y59">
        <v>58</v>
      </c>
      <c r="AC59">
        <v>5</v>
      </c>
      <c r="AD59">
        <v>12</v>
      </c>
      <c r="AE59">
        <v>8</v>
      </c>
      <c r="AJ59">
        <v>58</v>
      </c>
      <c r="AK59">
        <v>57</v>
      </c>
    </row>
    <row r="60" spans="25:37" ht="13.5">
      <c r="Y60">
        <v>59</v>
      </c>
      <c r="AC60">
        <v>6</v>
      </c>
      <c r="AD60">
        <v>12</v>
      </c>
      <c r="AE60">
        <v>8</v>
      </c>
      <c r="AJ60">
        <v>59</v>
      </c>
      <c r="AK60">
        <v>58</v>
      </c>
    </row>
    <row r="61" spans="25:37" ht="13.5">
      <c r="Y61">
        <v>60</v>
      </c>
      <c r="AC61">
        <v>6</v>
      </c>
      <c r="AD61">
        <v>12</v>
      </c>
      <c r="AE61">
        <v>9</v>
      </c>
      <c r="AJ61">
        <v>60</v>
      </c>
      <c r="AK61">
        <v>59</v>
      </c>
    </row>
    <row r="62" spans="25:37" ht="13.5">
      <c r="Y62">
        <v>61</v>
      </c>
      <c r="AC62">
        <v>6</v>
      </c>
      <c r="AD62">
        <v>12</v>
      </c>
      <c r="AE62">
        <v>9</v>
      </c>
      <c r="AJ62">
        <v>61</v>
      </c>
      <c r="AK62">
        <v>60</v>
      </c>
    </row>
    <row r="63" spans="25:37" ht="13.5">
      <c r="Y63">
        <v>62</v>
      </c>
      <c r="AC63">
        <v>6</v>
      </c>
      <c r="AD63">
        <v>12</v>
      </c>
      <c r="AE63">
        <v>9</v>
      </c>
      <c r="AJ63">
        <v>62</v>
      </c>
      <c r="AK63">
        <v>61</v>
      </c>
    </row>
    <row r="64" spans="25:37" ht="13.5">
      <c r="Y64">
        <v>63</v>
      </c>
      <c r="AC64">
        <v>6</v>
      </c>
      <c r="AD64">
        <v>13</v>
      </c>
      <c r="AE64">
        <v>9</v>
      </c>
      <c r="AJ64">
        <v>63</v>
      </c>
      <c r="AK64">
        <v>62</v>
      </c>
    </row>
    <row r="65" spans="25:37" ht="13.5">
      <c r="Y65">
        <v>64</v>
      </c>
      <c r="AC65">
        <v>6</v>
      </c>
      <c r="AD65">
        <v>13</v>
      </c>
      <c r="AE65">
        <v>10</v>
      </c>
      <c r="AJ65">
        <v>64</v>
      </c>
      <c r="AK65">
        <v>63</v>
      </c>
    </row>
    <row r="66" spans="25:37" ht="13.5">
      <c r="Y66">
        <v>65</v>
      </c>
      <c r="AC66">
        <v>6</v>
      </c>
      <c r="AD66">
        <v>13</v>
      </c>
      <c r="AE66">
        <v>10</v>
      </c>
      <c r="AJ66">
        <v>65</v>
      </c>
      <c r="AK66">
        <v>64</v>
      </c>
    </row>
    <row r="67" spans="25:37" ht="13.5">
      <c r="Y67">
        <v>66</v>
      </c>
      <c r="AC67">
        <v>6</v>
      </c>
      <c r="AD67">
        <v>13</v>
      </c>
      <c r="AE67">
        <v>10</v>
      </c>
      <c r="AJ67">
        <v>66</v>
      </c>
      <c r="AK67">
        <v>65</v>
      </c>
    </row>
    <row r="68" spans="25:37" ht="13.5">
      <c r="Y68">
        <v>67</v>
      </c>
      <c r="AC68">
        <v>6</v>
      </c>
      <c r="AD68">
        <v>13</v>
      </c>
      <c r="AE68">
        <v>10</v>
      </c>
      <c r="AJ68">
        <v>67</v>
      </c>
      <c r="AK68">
        <v>66</v>
      </c>
    </row>
    <row r="69" spans="25:37" ht="13.5">
      <c r="Y69">
        <v>68</v>
      </c>
      <c r="AC69">
        <v>7</v>
      </c>
      <c r="AD69">
        <v>13</v>
      </c>
      <c r="AE69">
        <v>10</v>
      </c>
      <c r="AJ69">
        <v>68</v>
      </c>
      <c r="AK69">
        <v>67</v>
      </c>
    </row>
    <row r="70" spans="25:37" ht="13.5">
      <c r="Y70">
        <v>69</v>
      </c>
      <c r="AC70">
        <v>7</v>
      </c>
      <c r="AD70">
        <v>13</v>
      </c>
      <c r="AE70">
        <v>11</v>
      </c>
      <c r="AJ70">
        <v>69</v>
      </c>
      <c r="AK70">
        <v>68</v>
      </c>
    </row>
    <row r="71" spans="25:37" ht="13.5">
      <c r="Y71">
        <v>70</v>
      </c>
      <c r="AC71">
        <v>7</v>
      </c>
      <c r="AD71">
        <v>14</v>
      </c>
      <c r="AE71">
        <v>11</v>
      </c>
      <c r="AJ71">
        <v>70</v>
      </c>
      <c r="AK71">
        <v>69</v>
      </c>
    </row>
    <row r="72" spans="36:37" ht="13.5">
      <c r="AJ72">
        <v>71</v>
      </c>
      <c r="AK72">
        <v>70</v>
      </c>
    </row>
    <row r="73" spans="36:37" ht="13.5">
      <c r="AJ73">
        <v>72</v>
      </c>
      <c r="AK73">
        <v>71</v>
      </c>
    </row>
    <row r="74" spans="36:37" ht="13.5">
      <c r="AJ74">
        <v>73</v>
      </c>
      <c r="AK74">
        <v>72</v>
      </c>
    </row>
    <row r="75" spans="36:37" ht="13.5">
      <c r="AJ75">
        <v>74</v>
      </c>
      <c r="AK75">
        <v>73</v>
      </c>
    </row>
    <row r="76" spans="36:37" ht="13.5">
      <c r="AJ76">
        <v>75</v>
      </c>
      <c r="AK76">
        <v>74</v>
      </c>
    </row>
    <row r="77" spans="36:37" ht="13.5">
      <c r="AJ77">
        <v>76</v>
      </c>
      <c r="AK77">
        <v>75</v>
      </c>
    </row>
    <row r="78" spans="36:37" ht="13.5">
      <c r="AJ78">
        <v>77</v>
      </c>
      <c r="AK78">
        <v>76</v>
      </c>
    </row>
    <row r="79" spans="36:37" ht="13.5">
      <c r="AJ79">
        <v>78</v>
      </c>
      <c r="AK79">
        <v>77</v>
      </c>
    </row>
    <row r="80" spans="36:37" ht="13.5">
      <c r="AJ80">
        <v>79</v>
      </c>
      <c r="AK80">
        <v>78</v>
      </c>
    </row>
    <row r="81" spans="36:37" ht="13.5">
      <c r="AJ81">
        <v>80</v>
      </c>
      <c r="AK81">
        <v>79</v>
      </c>
    </row>
    <row r="82" spans="36:37" ht="13.5">
      <c r="AJ82">
        <v>81</v>
      </c>
      <c r="AK82">
        <v>80</v>
      </c>
    </row>
    <row r="83" spans="36:37" ht="13.5">
      <c r="AJ83">
        <v>82</v>
      </c>
      <c r="AK83">
        <v>81</v>
      </c>
    </row>
    <row r="84" spans="36:37" ht="13.5">
      <c r="AJ84">
        <v>83</v>
      </c>
      <c r="AK84">
        <v>82</v>
      </c>
    </row>
    <row r="85" spans="36:37" ht="13.5">
      <c r="AJ85">
        <v>84</v>
      </c>
      <c r="AK85">
        <v>83</v>
      </c>
    </row>
    <row r="86" spans="36:37" ht="13.5">
      <c r="AJ86">
        <v>85</v>
      </c>
      <c r="AK86">
        <v>84</v>
      </c>
    </row>
    <row r="87" spans="36:37" ht="13.5">
      <c r="AJ87">
        <v>86</v>
      </c>
      <c r="AK87">
        <v>85</v>
      </c>
    </row>
    <row r="88" spans="36:37" ht="13.5">
      <c r="AJ88">
        <v>87</v>
      </c>
      <c r="AK88">
        <v>86</v>
      </c>
    </row>
    <row r="89" spans="36:37" ht="13.5">
      <c r="AJ89">
        <v>88</v>
      </c>
      <c r="AK89">
        <v>87</v>
      </c>
    </row>
    <row r="90" spans="36:37" ht="13.5">
      <c r="AJ90">
        <v>89</v>
      </c>
      <c r="AK90">
        <v>88</v>
      </c>
    </row>
    <row r="91" spans="36:37" ht="13.5">
      <c r="AJ91">
        <v>90</v>
      </c>
      <c r="AK91">
        <v>89</v>
      </c>
    </row>
    <row r="92" spans="36:37" ht="13.5">
      <c r="AJ92">
        <v>91</v>
      </c>
      <c r="AK92">
        <v>90</v>
      </c>
    </row>
    <row r="93" spans="36:37" ht="13.5">
      <c r="AJ93">
        <v>92</v>
      </c>
      <c r="AK93">
        <v>91</v>
      </c>
    </row>
    <row r="94" spans="36:37" ht="13.5">
      <c r="AJ94">
        <v>93</v>
      </c>
      <c r="AK94">
        <v>92</v>
      </c>
    </row>
    <row r="95" spans="36:37" ht="13.5">
      <c r="AJ95">
        <v>94</v>
      </c>
      <c r="AK95">
        <v>93</v>
      </c>
    </row>
    <row r="96" spans="36:37" ht="13.5">
      <c r="AJ96">
        <v>95</v>
      </c>
      <c r="AK96">
        <v>94</v>
      </c>
    </row>
    <row r="97" spans="36:37" ht="13.5">
      <c r="AJ97">
        <v>96</v>
      </c>
      <c r="AK97">
        <v>95</v>
      </c>
    </row>
    <row r="98" spans="36:37" ht="13.5">
      <c r="AJ98">
        <v>97</v>
      </c>
      <c r="AK98">
        <v>96</v>
      </c>
    </row>
    <row r="99" spans="36:37" ht="13.5">
      <c r="AJ99">
        <v>98</v>
      </c>
      <c r="AK99">
        <v>97</v>
      </c>
    </row>
    <row r="100" spans="1:37" ht="13.5">
      <c r="A100" s="8">
        <v>1</v>
      </c>
      <c r="B100" s="31"/>
      <c r="C100" s="32"/>
      <c r="D100" s="31"/>
      <c r="AJ100">
        <v>99</v>
      </c>
      <c r="AK100">
        <v>98</v>
      </c>
    </row>
    <row r="101" spans="36:37" ht="13.5">
      <c r="AJ101">
        <v>100</v>
      </c>
      <c r="AK101">
        <v>99</v>
      </c>
    </row>
    <row r="102" spans="36:37" ht="13.5">
      <c r="AJ102">
        <v>101</v>
      </c>
      <c r="AK102">
        <v>100</v>
      </c>
    </row>
    <row r="103" ht="13.5">
      <c r="AJ103">
        <v>102</v>
      </c>
    </row>
    <row r="104" ht="13.5">
      <c r="AJ104">
        <v>103</v>
      </c>
    </row>
    <row r="105" ht="13.5">
      <c r="AJ105">
        <v>104</v>
      </c>
    </row>
    <row r="106" ht="13.5">
      <c r="AJ106">
        <v>105</v>
      </c>
    </row>
    <row r="107" ht="13.5">
      <c r="AJ107">
        <v>106</v>
      </c>
    </row>
    <row r="108" ht="13.5">
      <c r="AJ108">
        <v>107</v>
      </c>
    </row>
    <row r="109" ht="13.5">
      <c r="AJ109">
        <v>108</v>
      </c>
    </row>
    <row r="110" ht="13.5">
      <c r="AJ110">
        <v>109</v>
      </c>
    </row>
    <row r="111" ht="13.5">
      <c r="AJ111">
        <v>110</v>
      </c>
    </row>
    <row r="112" ht="13.5">
      <c r="AJ112">
        <v>111</v>
      </c>
    </row>
    <row r="113" ht="13.5">
      <c r="AJ113">
        <v>112</v>
      </c>
    </row>
    <row r="114" ht="13.5">
      <c r="AJ114">
        <v>113</v>
      </c>
    </row>
    <row r="115" ht="13.5">
      <c r="AJ115">
        <v>114</v>
      </c>
    </row>
    <row r="116" ht="13.5">
      <c r="AJ116">
        <v>115</v>
      </c>
    </row>
    <row r="117" ht="13.5">
      <c r="AJ117">
        <v>116</v>
      </c>
    </row>
    <row r="118" ht="13.5">
      <c r="AJ118">
        <v>117</v>
      </c>
    </row>
    <row r="119" ht="13.5">
      <c r="AJ119">
        <v>118</v>
      </c>
    </row>
    <row r="120" ht="13.5">
      <c r="AJ120">
        <v>119</v>
      </c>
    </row>
    <row r="121" ht="13.5">
      <c r="AJ121">
        <v>120</v>
      </c>
    </row>
    <row r="122" ht="13.5">
      <c r="AJ122">
        <v>121</v>
      </c>
    </row>
    <row r="123" ht="13.5">
      <c r="AJ123">
        <v>122</v>
      </c>
    </row>
    <row r="124" ht="13.5">
      <c r="AJ124">
        <v>123</v>
      </c>
    </row>
    <row r="125" ht="13.5">
      <c r="AJ125">
        <v>124</v>
      </c>
    </row>
    <row r="126" ht="13.5">
      <c r="AJ126">
        <v>125</v>
      </c>
    </row>
    <row r="127" ht="13.5">
      <c r="AJ127">
        <v>126</v>
      </c>
    </row>
    <row r="128" ht="13.5">
      <c r="AJ128">
        <v>127</v>
      </c>
    </row>
    <row r="129" ht="13.5">
      <c r="AJ129">
        <v>128</v>
      </c>
    </row>
    <row r="130" ht="13.5">
      <c r="AJ130">
        <v>129</v>
      </c>
    </row>
    <row r="131" ht="13.5">
      <c r="AJ131">
        <v>130</v>
      </c>
    </row>
    <row r="132" ht="13.5">
      <c r="AJ132">
        <v>131</v>
      </c>
    </row>
    <row r="133" ht="13.5">
      <c r="AJ133">
        <v>132</v>
      </c>
    </row>
    <row r="134" ht="13.5">
      <c r="AJ134">
        <v>133</v>
      </c>
    </row>
    <row r="135" ht="13.5">
      <c r="AJ135">
        <v>134</v>
      </c>
    </row>
    <row r="136" ht="13.5">
      <c r="AJ136">
        <v>135</v>
      </c>
    </row>
    <row r="137" ht="13.5">
      <c r="AJ137">
        <v>136</v>
      </c>
    </row>
    <row r="138" ht="13.5">
      <c r="AJ138">
        <v>137</v>
      </c>
    </row>
    <row r="139" ht="13.5">
      <c r="AJ139">
        <v>138</v>
      </c>
    </row>
    <row r="140" ht="13.5">
      <c r="AJ140">
        <v>139</v>
      </c>
    </row>
    <row r="141" ht="13.5">
      <c r="AJ141">
        <v>140</v>
      </c>
    </row>
    <row r="142" ht="13.5">
      <c r="AJ142">
        <v>141</v>
      </c>
    </row>
    <row r="143" ht="13.5">
      <c r="AJ143">
        <v>142</v>
      </c>
    </row>
    <row r="144" ht="13.5">
      <c r="AJ144">
        <v>143</v>
      </c>
    </row>
    <row r="145" ht="13.5">
      <c r="AJ145">
        <v>144</v>
      </c>
    </row>
    <row r="146" ht="13.5">
      <c r="AJ146">
        <v>145</v>
      </c>
    </row>
    <row r="147" ht="13.5">
      <c r="AJ147">
        <v>146</v>
      </c>
    </row>
    <row r="148" ht="13.5">
      <c r="AJ148">
        <v>147</v>
      </c>
    </row>
    <row r="149" ht="13.5">
      <c r="AJ149">
        <v>148</v>
      </c>
    </row>
    <row r="150" ht="13.5">
      <c r="AJ150">
        <v>149</v>
      </c>
    </row>
    <row r="151" ht="13.5">
      <c r="AJ151">
        <v>150</v>
      </c>
    </row>
  </sheetData>
  <mergeCells count="3">
    <mergeCell ref="B9:C9"/>
    <mergeCell ref="B100:D100"/>
    <mergeCell ref="A8:H8"/>
  </mergeCells>
  <dataValidations count="6">
    <dataValidation type="list" allowBlank="1" showInputMessage="1" showErrorMessage="1" sqref="F5:F7">
      <formula1>$AK$2:$AK$51</formula1>
    </dataValidation>
    <dataValidation type="list" allowBlank="1" showInputMessage="1" showErrorMessage="1" sqref="H5:H7">
      <formula1>$AK$2:$AK$72</formula1>
    </dataValidation>
    <dataValidation type="list" allowBlank="1" showInputMessage="1" showErrorMessage="1" sqref="B4">
      <formula1>$AI$2:$AI$11</formula1>
    </dataValidation>
    <dataValidation type="list" allowBlank="1" showInputMessage="1" showErrorMessage="1" sqref="B5:B7">
      <formula1>$AJ$2:$AJ$121</formula1>
    </dataValidation>
    <dataValidation type="list" allowBlank="1" showInputMessage="1" showErrorMessage="1" sqref="B3">
      <formula1>$AI$6:$AI$11</formula1>
    </dataValidation>
    <dataValidation type="list" allowBlank="1" showInputMessage="1" showErrorMessage="1" sqref="B2">
      <formula1>$Y$2:$Y$71</formula1>
    </dataValidation>
  </dataValidations>
  <printOptions/>
  <pageMargins left="0.75" right="0.75" top="1" bottom="1" header="0.512" footer="0.512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625" style="5" customWidth="1"/>
    <col min="2" max="12" width="8.625" style="3" customWidth="1"/>
    <col min="13" max="13" width="7.875" style="3" customWidth="1"/>
    <col min="14" max="16384" width="9.00390625" style="3" customWidth="1"/>
  </cols>
  <sheetData>
    <row r="1" spans="1:14" s="6" customFormat="1" ht="13.5">
      <c r="A1" s="5" t="s">
        <v>52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 t="s">
        <v>51</v>
      </c>
      <c r="M1" s="6" t="s">
        <v>9</v>
      </c>
      <c r="N1" s="6" t="s">
        <v>10</v>
      </c>
    </row>
    <row r="2" spans="3:14" ht="13.5">
      <c r="C2" s="2"/>
      <c r="D2" s="4"/>
      <c r="F2" s="4"/>
      <c r="G2" s="4"/>
      <c r="H2" s="4"/>
      <c r="I2" s="4"/>
      <c r="J2" s="4"/>
      <c r="K2" s="4"/>
      <c r="M2" s="3">
        <f>F2-L2</f>
        <v>0</v>
      </c>
      <c r="N2" s="3">
        <f>K2-L2</f>
        <v>0</v>
      </c>
    </row>
    <row r="3" spans="3:14" ht="13.5">
      <c r="C3" s="2"/>
      <c r="D3" s="4"/>
      <c r="F3" s="4"/>
      <c r="G3" s="4"/>
      <c r="H3" s="4"/>
      <c r="I3" s="4"/>
      <c r="J3" s="4"/>
      <c r="K3" s="4"/>
      <c r="M3" s="3">
        <f aca="true" t="shared" si="0" ref="M3:M37">F3-L3</f>
        <v>0</v>
      </c>
      <c r="N3" s="3">
        <f aca="true" t="shared" si="1" ref="N3:N37">K3-L3</f>
        <v>0</v>
      </c>
    </row>
    <row r="4" spans="3:14" ht="13.5">
      <c r="C4" s="2"/>
      <c r="D4" s="4"/>
      <c r="F4" s="4"/>
      <c r="G4" s="4"/>
      <c r="H4" s="4"/>
      <c r="I4" s="4"/>
      <c r="J4" s="4"/>
      <c r="K4" s="4"/>
      <c r="M4" s="3">
        <f t="shared" si="0"/>
        <v>0</v>
      </c>
      <c r="N4" s="3">
        <f t="shared" si="1"/>
        <v>0</v>
      </c>
    </row>
    <row r="5" spans="3:14" ht="13.5">
      <c r="C5" s="2"/>
      <c r="D5" s="4"/>
      <c r="F5" s="4"/>
      <c r="G5" s="4"/>
      <c r="H5" s="4"/>
      <c r="I5" s="4"/>
      <c r="J5" s="4"/>
      <c r="K5" s="4"/>
      <c r="M5" s="3">
        <f t="shared" si="0"/>
        <v>0</v>
      </c>
      <c r="N5" s="3">
        <f t="shared" si="1"/>
        <v>0</v>
      </c>
    </row>
    <row r="6" spans="3:14" ht="13.5">
      <c r="C6" s="2"/>
      <c r="D6" s="2"/>
      <c r="F6" s="4"/>
      <c r="G6" s="4"/>
      <c r="H6" s="4"/>
      <c r="I6" s="4"/>
      <c r="J6" s="4"/>
      <c r="K6" s="4"/>
      <c r="M6" s="3">
        <f t="shared" si="0"/>
        <v>0</v>
      </c>
      <c r="N6" s="3">
        <f t="shared" si="1"/>
        <v>0</v>
      </c>
    </row>
    <row r="7" spans="3:14" ht="13.5">
      <c r="C7" s="2"/>
      <c r="D7" s="2"/>
      <c r="F7" s="4"/>
      <c r="G7" s="4"/>
      <c r="H7" s="4"/>
      <c r="I7" s="4"/>
      <c r="J7" s="4"/>
      <c r="K7" s="4"/>
      <c r="M7" s="3">
        <f t="shared" si="0"/>
        <v>0</v>
      </c>
      <c r="N7" s="3">
        <f t="shared" si="1"/>
        <v>0</v>
      </c>
    </row>
    <row r="8" spans="3:14" ht="13.5">
      <c r="C8" s="2"/>
      <c r="D8" s="4"/>
      <c r="F8" s="4"/>
      <c r="G8" s="4"/>
      <c r="H8" s="4"/>
      <c r="I8" s="4"/>
      <c r="J8" s="4"/>
      <c r="K8" s="4"/>
      <c r="M8" s="3">
        <f t="shared" si="0"/>
        <v>0</v>
      </c>
      <c r="N8" s="3">
        <f t="shared" si="1"/>
        <v>0</v>
      </c>
    </row>
    <row r="9" spans="3:14" ht="13.5">
      <c r="C9" s="2"/>
      <c r="D9" s="4"/>
      <c r="F9" s="4"/>
      <c r="G9" s="4"/>
      <c r="H9" s="4"/>
      <c r="I9" s="4"/>
      <c r="J9" s="4"/>
      <c r="K9" s="4"/>
      <c r="M9" s="3">
        <f t="shared" si="0"/>
        <v>0</v>
      </c>
      <c r="N9" s="3">
        <f t="shared" si="1"/>
        <v>0</v>
      </c>
    </row>
    <row r="10" spans="3:14" ht="13.5">
      <c r="C10" s="7"/>
      <c r="D10" s="4"/>
      <c r="E10" s="4"/>
      <c r="F10" s="4"/>
      <c r="G10" s="4"/>
      <c r="H10" s="4"/>
      <c r="I10" s="4"/>
      <c r="J10" s="4"/>
      <c r="K10" s="4"/>
      <c r="M10" s="3">
        <f t="shared" si="0"/>
        <v>0</v>
      </c>
      <c r="N10" s="3">
        <f t="shared" si="1"/>
        <v>0</v>
      </c>
    </row>
    <row r="11" spans="3:14" ht="13.5">
      <c r="C11" s="7"/>
      <c r="D11" s="4"/>
      <c r="E11" s="4"/>
      <c r="F11" s="4"/>
      <c r="G11" s="4"/>
      <c r="H11" s="4"/>
      <c r="I11" s="4"/>
      <c r="J11" s="4"/>
      <c r="K11" s="4"/>
      <c r="M11" s="3">
        <f t="shared" si="0"/>
        <v>0</v>
      </c>
      <c r="N11" s="3">
        <f t="shared" si="1"/>
        <v>0</v>
      </c>
    </row>
    <row r="12" spans="3:14" ht="13.5">
      <c r="C12" s="7"/>
      <c r="D12" s="4"/>
      <c r="E12" s="4"/>
      <c r="F12" s="4"/>
      <c r="G12" s="4"/>
      <c r="H12" s="4"/>
      <c r="I12" s="4"/>
      <c r="J12" s="4"/>
      <c r="K12" s="4"/>
      <c r="L12" s="4"/>
      <c r="M12" s="3">
        <f t="shared" si="0"/>
        <v>0</v>
      </c>
      <c r="N12" s="3">
        <f t="shared" si="1"/>
        <v>0</v>
      </c>
    </row>
    <row r="13" spans="3:14" ht="13.5">
      <c r="C13" s="7"/>
      <c r="D13" s="4"/>
      <c r="E13" s="4"/>
      <c r="F13" s="4"/>
      <c r="G13" s="4"/>
      <c r="H13" s="4"/>
      <c r="I13" s="4"/>
      <c r="J13" s="4"/>
      <c r="K13" s="4"/>
      <c r="L13" s="4"/>
      <c r="M13" s="3">
        <f t="shared" si="0"/>
        <v>0</v>
      </c>
      <c r="N13" s="3">
        <f t="shared" si="1"/>
        <v>0</v>
      </c>
    </row>
    <row r="14" spans="3:14" ht="13.5">
      <c r="C14" s="7"/>
      <c r="D14" s="4"/>
      <c r="E14" s="4"/>
      <c r="F14" s="4"/>
      <c r="G14" s="4"/>
      <c r="H14" s="4"/>
      <c r="I14" s="4"/>
      <c r="J14" s="4"/>
      <c r="K14" s="4"/>
      <c r="L14" s="4"/>
      <c r="M14" s="3">
        <f t="shared" si="0"/>
        <v>0</v>
      </c>
      <c r="N14" s="3">
        <f t="shared" si="1"/>
        <v>0</v>
      </c>
    </row>
    <row r="15" spans="3:14" ht="13.5">
      <c r="C15" s="7"/>
      <c r="D15" s="4"/>
      <c r="E15" s="4"/>
      <c r="F15" s="4"/>
      <c r="G15" s="4"/>
      <c r="H15" s="4"/>
      <c r="I15" s="4"/>
      <c r="J15" s="4"/>
      <c r="K15" s="4"/>
      <c r="L15" s="4"/>
      <c r="M15" s="3">
        <f>F15-L15</f>
        <v>0</v>
      </c>
      <c r="N15" s="3">
        <f t="shared" si="1"/>
        <v>0</v>
      </c>
    </row>
    <row r="16" spans="3:14" ht="13.5">
      <c r="C16" s="7"/>
      <c r="D16" s="4"/>
      <c r="E16" s="4"/>
      <c r="F16" s="4"/>
      <c r="G16" s="4"/>
      <c r="H16" s="4"/>
      <c r="I16" s="4"/>
      <c r="J16" s="4"/>
      <c r="K16" s="4"/>
      <c r="L16" s="4"/>
      <c r="M16" s="3">
        <f t="shared" si="0"/>
        <v>0</v>
      </c>
      <c r="N16" s="3">
        <f t="shared" si="1"/>
        <v>0</v>
      </c>
    </row>
    <row r="17" spans="3:14" ht="13.5">
      <c r="C17" s="7"/>
      <c r="D17" s="4"/>
      <c r="E17" s="4"/>
      <c r="F17" s="4"/>
      <c r="G17" s="4"/>
      <c r="H17" s="4"/>
      <c r="I17" s="4"/>
      <c r="J17" s="4"/>
      <c r="K17" s="4"/>
      <c r="L17" s="4"/>
      <c r="M17" s="3">
        <f t="shared" si="0"/>
        <v>0</v>
      </c>
      <c r="N17" s="3">
        <f t="shared" si="1"/>
        <v>0</v>
      </c>
    </row>
    <row r="18" spans="3:14" ht="13.5">
      <c r="C18" s="7"/>
      <c r="D18" s="4"/>
      <c r="E18" s="4"/>
      <c r="F18" s="4"/>
      <c r="G18" s="4"/>
      <c r="H18" s="4"/>
      <c r="I18" s="4"/>
      <c r="J18" s="4"/>
      <c r="K18" s="4"/>
      <c r="L18" s="4"/>
      <c r="M18" s="3">
        <f t="shared" si="0"/>
        <v>0</v>
      </c>
      <c r="N18" s="3">
        <f t="shared" si="1"/>
        <v>0</v>
      </c>
    </row>
    <row r="19" spans="13:14" ht="13.5">
      <c r="M19" s="3">
        <f t="shared" si="0"/>
        <v>0</v>
      </c>
      <c r="N19" s="3">
        <f t="shared" si="1"/>
        <v>0</v>
      </c>
    </row>
    <row r="20" spans="13:14" ht="13.5">
      <c r="M20" s="3">
        <f t="shared" si="0"/>
        <v>0</v>
      </c>
      <c r="N20" s="3">
        <f t="shared" si="1"/>
        <v>0</v>
      </c>
    </row>
    <row r="21" spans="13:14" ht="13.5">
      <c r="M21" s="3">
        <f t="shared" si="0"/>
        <v>0</v>
      </c>
      <c r="N21" s="3">
        <f t="shared" si="1"/>
        <v>0</v>
      </c>
    </row>
    <row r="22" spans="13:14" ht="13.5">
      <c r="M22" s="3">
        <f t="shared" si="0"/>
        <v>0</v>
      </c>
      <c r="N22" s="3">
        <f t="shared" si="1"/>
        <v>0</v>
      </c>
    </row>
    <row r="23" spans="13:14" ht="13.5">
      <c r="M23" s="3">
        <f t="shared" si="0"/>
        <v>0</v>
      </c>
      <c r="N23" s="3">
        <f t="shared" si="1"/>
        <v>0</v>
      </c>
    </row>
    <row r="24" spans="13:14" ht="13.5">
      <c r="M24" s="3">
        <f t="shared" si="0"/>
        <v>0</v>
      </c>
      <c r="N24" s="3">
        <f t="shared" si="1"/>
        <v>0</v>
      </c>
    </row>
    <row r="25" spans="13:14" ht="13.5">
      <c r="M25" s="3">
        <f t="shared" si="0"/>
        <v>0</v>
      </c>
      <c r="N25" s="3">
        <f t="shared" si="1"/>
        <v>0</v>
      </c>
    </row>
    <row r="26" spans="13:14" ht="13.5">
      <c r="M26" s="3">
        <f t="shared" si="0"/>
        <v>0</v>
      </c>
      <c r="N26" s="3">
        <f t="shared" si="1"/>
        <v>0</v>
      </c>
    </row>
    <row r="27" spans="13:14" ht="13.5">
      <c r="M27" s="3">
        <f t="shared" si="0"/>
        <v>0</v>
      </c>
      <c r="N27" s="3">
        <f t="shared" si="1"/>
        <v>0</v>
      </c>
    </row>
    <row r="28" spans="13:14" ht="13.5">
      <c r="M28" s="3">
        <f t="shared" si="0"/>
        <v>0</v>
      </c>
      <c r="N28" s="3">
        <f t="shared" si="1"/>
        <v>0</v>
      </c>
    </row>
    <row r="29" spans="13:14" ht="13.5">
      <c r="M29" s="3">
        <f t="shared" si="0"/>
        <v>0</v>
      </c>
      <c r="N29" s="3">
        <f t="shared" si="1"/>
        <v>0</v>
      </c>
    </row>
    <row r="30" spans="13:14" ht="13.5">
      <c r="M30" s="3">
        <f t="shared" si="0"/>
        <v>0</v>
      </c>
      <c r="N30" s="3">
        <f t="shared" si="1"/>
        <v>0</v>
      </c>
    </row>
    <row r="31" spans="13:14" ht="13.5">
      <c r="M31" s="3">
        <f t="shared" si="0"/>
        <v>0</v>
      </c>
      <c r="N31" s="3">
        <f t="shared" si="1"/>
        <v>0</v>
      </c>
    </row>
    <row r="32" spans="13:14" ht="13.5">
      <c r="M32" s="3">
        <f t="shared" si="0"/>
        <v>0</v>
      </c>
      <c r="N32" s="3">
        <f t="shared" si="1"/>
        <v>0</v>
      </c>
    </row>
    <row r="33" spans="13:14" ht="13.5">
      <c r="M33" s="3">
        <f t="shared" si="0"/>
        <v>0</v>
      </c>
      <c r="N33" s="3">
        <f t="shared" si="1"/>
        <v>0</v>
      </c>
    </row>
    <row r="34" spans="13:14" ht="13.5">
      <c r="M34" s="3">
        <f t="shared" si="0"/>
        <v>0</v>
      </c>
      <c r="N34" s="3">
        <f t="shared" si="1"/>
        <v>0</v>
      </c>
    </row>
    <row r="35" spans="13:14" ht="13.5">
      <c r="M35" s="3">
        <f t="shared" si="0"/>
        <v>0</v>
      </c>
      <c r="N35" s="3">
        <f t="shared" si="1"/>
        <v>0</v>
      </c>
    </row>
    <row r="36" spans="13:14" ht="13.5">
      <c r="M36" s="3">
        <f t="shared" si="0"/>
        <v>0</v>
      </c>
      <c r="N36" s="3">
        <f t="shared" si="1"/>
        <v>0</v>
      </c>
    </row>
    <row r="37" spans="13:14" ht="13.5">
      <c r="M37" s="3">
        <f t="shared" si="0"/>
        <v>0</v>
      </c>
      <c r="N37" s="3">
        <f t="shared" si="1"/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まめくろ</cp:lastModifiedBy>
  <dcterms:created xsi:type="dcterms:W3CDTF">2007-12-14T12:46:08Z</dcterms:created>
  <dcterms:modified xsi:type="dcterms:W3CDTF">2010-08-11T01:11:04Z</dcterms:modified>
  <cp:category/>
  <cp:version/>
  <cp:contentType/>
  <cp:contentStatus/>
</cp:coreProperties>
</file>